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5025" tabRatio="740" activeTab="0"/>
  </bookViews>
  <sheets>
    <sheet name="IDENTITAS dan TANGGAL PENETAPAN" sheetId="1" r:id="rId1"/>
    <sheet name="PENCARIAN AK" sheetId="2" r:id="rId2"/>
    <sheet name="SKP" sheetId="3" r:id="rId3"/>
    <sheet name="PENGUKURAN" sheetId="4" r:id="rId4"/>
    <sheet name="PENILAIAN" sheetId="5" r:id="rId5"/>
    <sheet name="Sheet3" sheetId="6" state="hidden" r:id="rId6"/>
  </sheets>
  <definedNames>
    <definedName name="_xlfn.AVERAGEIFS" hidden="1">#NAME?</definedName>
    <definedName name="_xlfn.IFERROR" hidden="1">#NAME?</definedName>
    <definedName name="_xlnm.Print_Area" localSheetId="1">'PENCARIAN AK'!$A$1:$Q$314</definedName>
    <definedName name="_xlnm.Print_Area" localSheetId="3">'PENGUKURAN'!$A$1:$R$44</definedName>
    <definedName name="_xlnm.Print_Area" localSheetId="4">'PENILAIAN'!$A$1:$U$56</definedName>
    <definedName name="_xlnm.Print_Area" localSheetId="2">'SKP'!$A$1:$M$40</definedName>
  </definedNames>
  <calcPr fullCalcOnLoad="1"/>
</workbook>
</file>

<file path=xl/comments2.xml><?xml version="1.0" encoding="utf-8"?>
<comments xmlns="http://schemas.openxmlformats.org/spreadsheetml/2006/main">
  <authors>
    <author>Sony</author>
    <author>ifa</author>
    <author>Kepegawaian</author>
  </authors>
  <commentList>
    <comment ref="C75" authorId="0">
      <text>
        <r>
          <rPr>
            <sz val="9"/>
            <rFont val="Tahoma"/>
            <family val="2"/>
          </rPr>
          <t>ISIKAN JUMLAH MAHASISWA YANG DI BIMBING</t>
        </r>
      </text>
    </comment>
    <comment ref="F64" authorId="0">
      <text>
        <r>
          <rPr>
            <b/>
            <sz val="9"/>
            <rFont val="Tahoma"/>
            <family val="2"/>
          </rPr>
          <t>Permenpan RB Nomor :</t>
        </r>
        <r>
          <rPr>
            <sz val="9"/>
            <rFont val="Tahoma"/>
            <family val="2"/>
          </rPr>
          <t xml:space="preserve">
17 / 2013
2 sks berikutnya
Asisten Ahli : 0,5
Lektor Ke atas : 0,25</t>
        </r>
      </text>
    </comment>
    <comment ref="E64" authorId="0">
      <text>
        <r>
          <rPr>
            <b/>
            <sz val="9"/>
            <rFont val="Tahoma"/>
            <family val="2"/>
          </rPr>
          <t>permenpan RB Nomor : 17/2013:
10 sks pertama</t>
        </r>
        <r>
          <rPr>
            <sz val="9"/>
            <rFont val="Tahoma"/>
            <family val="2"/>
          </rPr>
          <t xml:space="preserve">
Asisten Ahli 0,5
Lektor ke atas = 1</t>
        </r>
      </text>
    </comment>
    <comment ref="I11" authorId="1">
      <text>
        <r>
          <rPr>
            <b/>
            <sz val="9"/>
            <rFont val="Tahoma"/>
            <family val="2"/>
          </rPr>
          <t>ifa:</t>
        </r>
        <r>
          <rPr>
            <sz val="9"/>
            <rFont val="Tahoma"/>
            <family val="2"/>
          </rPr>
          <t xml:space="preserve">
mengajar 9 SKS, pembimbing utama skripsi (2), pembimbing pendamping skripsi (2), penguji utama (2), penguji pendamping (1), menyusun modul (1)</t>
        </r>
      </text>
    </comment>
    <comment ref="C74" authorId="0">
      <text>
        <r>
          <rPr>
            <b/>
            <sz val="9"/>
            <rFont val="Tahoma"/>
            <family val="2"/>
          </rPr>
          <t xml:space="preserve">ISIKAN JUMLAH MAHASISWA YANG DI BIMBING
</t>
        </r>
      </text>
    </comment>
    <comment ref="D141" authorId="2">
      <text>
        <r>
          <rPr>
            <b/>
            <sz val="11"/>
            <rFont val="Tahoma"/>
            <family val="2"/>
          </rPr>
          <t>ISI ANGKA 1 JIKA MELAKSANAKAN</t>
        </r>
      </text>
    </comment>
    <comment ref="C248" authorId="2">
      <text>
        <r>
          <rPr>
            <b/>
            <sz val="12"/>
            <rFont val="Tahoma"/>
            <family val="2"/>
          </rPr>
          <t>TULIS KODE JABATANNYA SAJA</t>
        </r>
        <r>
          <rPr>
            <sz val="9"/>
            <rFont val="Tahoma"/>
            <family val="2"/>
          </rPr>
          <t xml:space="preserve">
</t>
        </r>
      </text>
    </comment>
    <comment ref="C269" authorId="2">
      <text>
        <r>
          <rPr>
            <b/>
            <sz val="12"/>
            <rFont val="Tahoma"/>
            <family val="2"/>
          </rPr>
          <t>TULIS KODE JABATANNYA SAJA</t>
        </r>
        <r>
          <rPr>
            <sz val="9"/>
            <rFont val="Tahoma"/>
            <family val="2"/>
          </rPr>
          <t xml:space="preserve">
</t>
        </r>
      </text>
    </comment>
    <comment ref="E33" authorId="2">
      <text>
        <r>
          <rPr>
            <b/>
            <sz val="9"/>
            <rFont val="Tahoma"/>
            <family val="2"/>
          </rPr>
          <t>ISI MATA KULIAH YANG DIAMPU, LENGKAPI DENGAN JUMLAH SKS, JUMLAH KELAS DAN JUMLAH DOSEN PENGAMPU MATA KULIAH TERKAIT</t>
        </r>
        <r>
          <rPr>
            <sz val="9"/>
            <rFont val="Tahoma"/>
            <family val="2"/>
          </rPr>
          <t xml:space="preserve">
</t>
        </r>
      </text>
    </comment>
    <comment ref="E49" authorId="2">
      <text>
        <r>
          <rPr>
            <b/>
            <sz val="9"/>
            <rFont val="Tahoma"/>
            <family val="2"/>
          </rPr>
          <t>ISI MATA KULIAH YANG DIAMPU, LENGKAPI DENGAN JUMLAH SKS, JUMLAH KELAS DAN JUMLAH DOSEN PENGAMPU MATA KULIAH TERKAIT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Kepegawaian</author>
  </authors>
  <commentList>
    <comment ref="I8" authorId="0">
      <text>
        <r>
          <rPr>
            <b/>
            <sz val="9"/>
            <rFont val="Tahoma"/>
            <family val="2"/>
          </rPr>
          <t>KOLOM INI TELAH SESUAI DENGAN SHEET "PENCARIAN AK"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INI HANYA CONTOH
</t>
        </r>
        <r>
          <rPr>
            <sz val="9"/>
            <rFont val="Tahoma"/>
            <family val="2"/>
          </rPr>
          <t xml:space="preserve">Pangkat/Gol Ruang Sekretaris LLDIKTI mohon diperiksa kembali. 
</t>
        </r>
        <r>
          <rPr>
            <b/>
            <sz val="9"/>
            <rFont val="Tahoma"/>
            <family val="2"/>
          </rPr>
          <t>Silahkan sesuaikan jika terdapat kesalahan</t>
        </r>
      </text>
    </comment>
  </commentList>
</comments>
</file>

<file path=xl/comments4.xml><?xml version="1.0" encoding="utf-8"?>
<comments xmlns="http://schemas.openxmlformats.org/spreadsheetml/2006/main">
  <authors>
    <author>Dell Intel Core i7</author>
    <author>Kepegawaian</author>
  </authors>
  <commentList>
    <comment ref="R35" authorId="0">
      <text>
        <r>
          <rPr>
            <b/>
            <u val="single"/>
            <sz val="9"/>
            <rFont val="Tahoma"/>
            <family val="2"/>
          </rPr>
          <t xml:space="preserve">
SILAHKAN ISIKAN Nilai pada Tugas Tambahan sesuai ketentuan berikut:*</t>
        </r>
        <r>
          <rPr>
            <sz val="9"/>
            <rFont val="Tahoma"/>
            <family val="2"/>
          </rPr>
          <t xml:space="preserve">
* Tugas tambahan sebanyak 1-3, diberikan nilai 1
* Tugas tambahan sebanyak 4-6, diberikan nilai 2
* Tugas tambahan sebanyak 7 atau lebih, diberikan nilai 3
</t>
        </r>
        <r>
          <rPr>
            <i/>
            <sz val="9"/>
            <rFont val="Tahoma"/>
            <family val="2"/>
          </rPr>
          <t>* berdasar ketentuan Perka BKN No. 1/2013, pada hal. 60</t>
        </r>
      </text>
    </comment>
    <comment ref="M7" authorId="0">
      <text>
        <r>
          <rPr>
            <b/>
            <u val="single"/>
            <sz val="9"/>
            <rFont val="Tahoma"/>
            <family val="2"/>
          </rPr>
          <t xml:space="preserve">ISIKAN NILAI KUALITAS DARI PEKERJAAN </t>
        </r>
        <r>
          <rPr>
            <sz val="9"/>
            <rFont val="Tahoma"/>
            <family val="2"/>
          </rPr>
          <t xml:space="preserve">
Isikan nilai kualitas pekerjaan yang diberikan oleh atasan langsung yang menandatangani SKP ini. Nilai kualitas pekerjaan</t>
        </r>
        <r>
          <rPr>
            <b/>
            <sz val="9"/>
            <rFont val="Tahoma"/>
            <family val="2"/>
          </rPr>
          <t xml:space="preserve"> tidak boleh melebihi 100</t>
        </r>
      </text>
    </comment>
    <comment ref="B28" authorId="1">
      <text>
        <r>
          <rPr>
            <b/>
            <sz val="9"/>
            <rFont val="Tahoma"/>
            <family val="2"/>
          </rPr>
          <t>Isikan maksimal 
7 tugas tambahan</t>
        </r>
        <r>
          <rPr>
            <sz val="9"/>
            <rFont val="Tahoma"/>
            <family val="2"/>
          </rPr>
          <t xml:space="preserve">
(</t>
        </r>
        <r>
          <rPr>
            <i/>
            <sz val="9"/>
            <rFont val="Tahoma"/>
            <family val="2"/>
          </rPr>
          <t>Jika ada</t>
        </r>
        <r>
          <rPr>
            <sz val="9"/>
            <rFont val="Tahoma"/>
            <family val="2"/>
          </rPr>
          <t>)</t>
        </r>
      </text>
    </comment>
    <comment ref="M10" authorId="1">
      <text>
        <r>
          <rPr>
            <b/>
            <sz val="9"/>
            <rFont val="Tahoma"/>
            <family val="2"/>
          </rPr>
          <t>INI HANYA CONTOH</t>
        </r>
        <r>
          <rPr>
            <sz val="9"/>
            <rFont val="Tahoma"/>
            <family val="2"/>
          </rPr>
          <t xml:space="preserve">
Silahkan hapus dan isi dengan data yang diperlukan</t>
        </r>
      </text>
    </comment>
  </commentList>
</comments>
</file>

<file path=xl/comments5.xml><?xml version="1.0" encoding="utf-8"?>
<comments xmlns="http://schemas.openxmlformats.org/spreadsheetml/2006/main">
  <authors>
    <author>Dell Intel Core i7</author>
    <author>Kepegawaian</author>
  </authors>
  <commentList>
    <comment ref="F4" authorId="0">
      <text>
        <r>
          <rPr>
            <b/>
            <u val="single"/>
            <sz val="9"/>
            <rFont val="Tahoma"/>
            <family val="2"/>
          </rPr>
          <t>ISIKAN NILAI PERILAKU KERJA</t>
        </r>
        <r>
          <rPr>
            <b/>
            <sz val="9"/>
            <rFont val="Tahoma"/>
            <family val="2"/>
          </rPr>
          <t xml:space="preserve"> (Orientasi Pelayanan sampai Kerjasama)</t>
        </r>
        <r>
          <rPr>
            <sz val="9"/>
            <rFont val="Tahoma"/>
            <family val="2"/>
          </rPr>
          <t xml:space="preserve">
Isikan nilai perilaku kerja yang diberikan oleh atasan langsung yang menandatangani SKP ini. Nilai perilaku kerja </t>
        </r>
        <r>
          <rPr>
            <b/>
            <sz val="9"/>
            <rFont val="Tahoma"/>
            <family val="2"/>
          </rPr>
          <t>tidak boleh melebihi 100</t>
        </r>
      </text>
    </comment>
    <comment ref="F9" authorId="1">
      <text>
        <r>
          <rPr>
            <b/>
            <sz val="9"/>
            <rFont val="Tahoma"/>
            <family val="2"/>
          </rPr>
          <t>NILAI KEPEMIMPINAN DIBERIKAN JIKA MENDUDUKI JABATAN DENGAN IZIN DARI LLDIKTI WILAYAH VII</t>
        </r>
      </text>
    </comment>
  </commentList>
</comments>
</file>

<file path=xl/sharedStrings.xml><?xml version="1.0" encoding="utf-8"?>
<sst xmlns="http://schemas.openxmlformats.org/spreadsheetml/2006/main" count="712" uniqueCount="388">
  <si>
    <t>FORMULIR SASARAN KERJA</t>
  </si>
  <si>
    <t>NO</t>
  </si>
  <si>
    <t>I. PEJABAT PENILAI</t>
  </si>
  <si>
    <t>Nama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</si>
  <si>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</si>
  <si>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</si>
  <si>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</si>
  <si>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</si>
  <si>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</si>
  <si>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</si>
  <si>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</si>
  <si>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</si>
  <si>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</si>
  <si>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</si>
  <si>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</si>
  <si>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</si>
  <si>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</si>
  <si>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</si>
  <si>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</si>
  <si>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NILAI CAPAIAN SKP</t>
  </si>
  <si>
    <t>AK</t>
  </si>
  <si>
    <t>KUANT/OUTPUT</t>
  </si>
  <si>
    <t>Kuant/ Output</t>
  </si>
  <si>
    <t>Pejabat Penilai,</t>
  </si>
  <si>
    <t>III. KEGIATAN TUGAS JABATAN</t>
  </si>
  <si>
    <t>I. Kegiatan Tugas  Jabatan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</si>
  <si>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</si>
  <si>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</si>
  <si>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</si>
  <si>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</si>
  <si>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</si>
  <si>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</si>
  <si>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</si>
  <si>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</si>
  <si>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</si>
  <si>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</si>
  <si>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</si>
  <si>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</si>
  <si>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</si>
  <si>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</si>
  <si>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</si>
  <si>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</si>
  <si>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</si>
  <si>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</si>
  <si>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</si>
  <si>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</si>
  <si>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</si>
  <si>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</si>
  <si>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</si>
  <si>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</si>
  <si>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</si>
  <si>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Tanggal, ………………….</t>
  </si>
  <si>
    <t xml:space="preserve">a. Sasaran Kerja Pegawai (SKP)             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</si>
  <si>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</si>
  <si>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</si>
  <si>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</si>
  <si>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</si>
  <si>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</si>
  <si>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</si>
  <si>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</si>
  <si>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</si>
  <si>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</si>
  <si>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JANGKA WAKTU PENILAIAN</t>
  </si>
  <si>
    <t>YANG DINILAI</t>
  </si>
  <si>
    <t>PEJABAT PENILAI</t>
  </si>
  <si>
    <t>ATASAN PEJABAT PENILAI</t>
  </si>
  <si>
    <t xml:space="preserve">     1.</t>
  </si>
  <si>
    <t xml:space="preserve">     2.</t>
  </si>
  <si>
    <t xml:space="preserve">     3.</t>
  </si>
  <si>
    <t>8.</t>
  </si>
  <si>
    <t>REKOMENDASI</t>
  </si>
  <si>
    <t>Melaksanakan perkuliahan</t>
  </si>
  <si>
    <t>-</t>
  </si>
  <si>
    <t>Membimbing mahasiswa seminar</t>
  </si>
  <si>
    <t>Membina kegiatan kemahasiswaan di bidang akademik dan kemahasiswaan</t>
  </si>
  <si>
    <t>Mengembangkan bahan kuliah</t>
  </si>
  <si>
    <t>PELAKSANAAN PENDIDIKAN</t>
  </si>
  <si>
    <t>PELAKSANAAN PENELITIAN</t>
  </si>
  <si>
    <t>Menghasilkan karya ilmiah</t>
  </si>
  <si>
    <t>PELAKSANAAN PENGABDIAN KEPADA MASYARAKAT</t>
  </si>
  <si>
    <t>Menjadi penguji Ujian Akhir baik sebagai ketua maupun anggota</t>
  </si>
  <si>
    <t>Jabatan/Pekerjaan</t>
  </si>
  <si>
    <t>Membimbing mahasiswa KKN, Praktek Kerja Nyata, Praktek Kerja Lapangan</t>
  </si>
  <si>
    <t>Membimbing dan ikut membimbing dalam menghasilkan skripsi, thesis, disertasi</t>
  </si>
  <si>
    <t>MENDUDUKI JABATAN PIMPINAN DI PERGURUAN TINGGI</t>
  </si>
  <si>
    <t xml:space="preserve">Nama </t>
  </si>
  <si>
    <t>BULAN :</t>
  </si>
  <si>
    <t xml:space="preserve">Unit Kerja </t>
  </si>
  <si>
    <t>Kuantitas/ Output</t>
  </si>
  <si>
    <t>Kualitas
/Mutu</t>
  </si>
  <si>
    <t>UNSUR PENUNJANG</t>
  </si>
  <si>
    <t>Jml Angka Kredit</t>
  </si>
  <si>
    <t>Satuan Hasil</t>
  </si>
  <si>
    <t>SEMESTER</t>
  </si>
  <si>
    <t>Rekapitulasi</t>
  </si>
  <si>
    <t>JUMLAH</t>
  </si>
  <si>
    <t>Setiap Smt</t>
  </si>
  <si>
    <t>Kepala Laboratorium</t>
  </si>
  <si>
    <t>Sekretaris Jurusan</t>
  </si>
  <si>
    <t>Ketua Jurusan/Bagian</t>
  </si>
  <si>
    <t>Asisten Direktur Pascasarjana</t>
  </si>
  <si>
    <t>Direktur Akademi</t>
  </si>
  <si>
    <t>Direktur Politeknik</t>
  </si>
  <si>
    <t>Ketua Sekolah Tinggi</t>
  </si>
  <si>
    <t>Direktur Pasca Sarjana</t>
  </si>
  <si>
    <t>Dekan</t>
  </si>
  <si>
    <t>Rektor</t>
  </si>
  <si>
    <t>Angka Kredit</t>
  </si>
  <si>
    <t>JUMLAH 3</t>
  </si>
  <si>
    <t>Membuat/menulis karya pengabdian pada masyarakat yang tidak dipublikasikan</t>
  </si>
  <si>
    <t>Memberi pelayanan kepada masyarakat atau kegiatan lain yang menunjang pelaksanaan tugas umum pemeintah dan pembangunan berdasarkan fungsi/jabatan</t>
  </si>
  <si>
    <t>Memberi pelayanan kepada masyarakat atau kegiatan lain yang menunjang pelaksanaan tugas umum pemeintah dan pembangunan berdasarkan penugasan lembaga PT</t>
  </si>
  <si>
    <t>Memberi pelayanan kepada masyarakat atau kegiatan lain yang menunjang pelaksanaan tugas umum pemeintah dan pembangunan berdasarkan keahlian</t>
  </si>
  <si>
    <t>Melaksanakan pengembangan hasil pendidikan dan penelitian yang dapat dimanfaatkan</t>
  </si>
  <si>
    <t>Menduduki jabatan pimpinan pada lembaga pemerintahan/pejabat negara yang harus dibebaskan dari jabatan organiknya</t>
  </si>
  <si>
    <t>Jumlah AK</t>
  </si>
  <si>
    <t>AK/prog</t>
  </si>
  <si>
    <t>Jumlah program</t>
  </si>
  <si>
    <t>KETERANGAN</t>
  </si>
  <si>
    <t>JUMLAH 2</t>
  </si>
  <si>
    <t>Insidental</t>
  </si>
  <si>
    <t>Kurang dari Satu semster Memberikan pelatihan/ penyuluhan/ penataran/ ceramah pada masyarakat Tingkat Lokal</t>
  </si>
  <si>
    <t>Kurang dari satu semesterMemberikan pelatihan/ penyuluhan/ penataran/ ceramah pada masyarakat Tingkat Nasional</t>
  </si>
  <si>
    <t>Kurang dari satu Semester Memberikan pelatihan/ penyuluhan/ penataran/ ceramah pada masyarakat Tingkat Internasional</t>
  </si>
  <si>
    <t>JUMLAH 1</t>
  </si>
  <si>
    <t>Satu Semester / LebihMemberikan pelatihan/ penyuluhan/ penataran/ ceramah pada masyarakat Tingkat Lokal</t>
  </si>
  <si>
    <t>Satu Semester / LebihMemberikan pelatihan/ penyuluhan/ penataran/ ceramah pada masyarakat Tingkat Nasional</t>
  </si>
  <si>
    <t>Satu semester/lebih Memberikan pelatihan/penyuluhan/penataran/ ceramah pada masyarakat Tingkat Internasional</t>
  </si>
  <si>
    <t>Membuat rancangan dan karya teknologi, rancangan dan karya seni monumental/seni pertunjukan/karya sastra Tk. Lokal</t>
  </si>
  <si>
    <t>Membuat rancangan dan karya teknologi, rancangan dan karya seni monumental/seni pertunjukan/karya sastra Tk. Nasional</t>
  </si>
  <si>
    <t>Membuat rancangan dan karya teknologi, rancangan dan karya seni monumental/seni pertunjukan/karya sastra Tk. Internasional</t>
  </si>
  <si>
    <t>Membuat rencana dan karya teknologi yang dipatenkan tingkat Nasional</t>
  </si>
  <si>
    <t>Membuat rencana dan karya teknologi yang dipatenkan tingkat Internasional</t>
  </si>
  <si>
    <t>Mengedit/menyunting karya ilmiah,diterbitkan dan diedarkan secara Nasional</t>
  </si>
  <si>
    <t>Menerjemahkan/menyadur buku ilmiah diterbitkan/diedarkan secara Nasional</t>
  </si>
  <si>
    <t>Hasil Penelitian / hasil pemikiran yg tidak dipublikasikan (tersimpan diperpustakaan PT)</t>
  </si>
  <si>
    <t>Artikel di majalah/koran</t>
  </si>
  <si>
    <t>Poster nasional</t>
  </si>
  <si>
    <t>Poster internasional</t>
  </si>
  <si>
    <t>Makalah disajikan di seminar nasional</t>
  </si>
  <si>
    <t>jam/minggu</t>
  </si>
  <si>
    <t>Makalah disajikan di seminar internasional</t>
  </si>
  <si>
    <t>Artikel di jurnal ilmiah nasional</t>
  </si>
  <si>
    <t>Artikel di jurnal ilmiah nasional terakreditasi</t>
  </si>
  <si>
    <t>Artikel di jurnal ilmiah internasional</t>
  </si>
  <si>
    <t>Buku referensi</t>
  </si>
  <si>
    <t>Monograf</t>
  </si>
  <si>
    <t>AK/karya ilmiah/jurnal</t>
  </si>
  <si>
    <t xml:space="preserve">Jenis karya ilmiah </t>
  </si>
  <si>
    <t>Naskah</t>
  </si>
  <si>
    <t>Naskah tutorial</t>
  </si>
  <si>
    <t>Audio visual</t>
  </si>
  <si>
    <t>Alat bantu</t>
  </si>
  <si>
    <t>Model</t>
  </si>
  <si>
    <t>Petunjuk Praktikum</t>
  </si>
  <si>
    <t xml:space="preserve">Modul </t>
  </si>
  <si>
    <t>Diktat</t>
  </si>
  <si>
    <t>Buku ajar</t>
  </si>
  <si>
    <t>AK/bahan kuliah</t>
  </si>
  <si>
    <t>jumlah</t>
  </si>
  <si>
    <t>Jenis bahan kuliah</t>
  </si>
  <si>
    <t>Modul</t>
  </si>
  <si>
    <t>(sebagai dosen wali, sebagai dosen pembimbing organisasi kegiatan mahasiswa, dll)</t>
  </si>
  <si>
    <t>JML MHS</t>
  </si>
  <si>
    <t>jam/mg</t>
  </si>
  <si>
    <t>1 jam/mg/mhs</t>
  </si>
  <si>
    <t>Anggota</t>
  </si>
  <si>
    <t>Ketua</t>
  </si>
  <si>
    <t>Penguji</t>
  </si>
  <si>
    <t>Nama mahasiswa</t>
  </si>
  <si>
    <t>2 jam/mg/mhs</t>
  </si>
  <si>
    <t>Skripsi</t>
  </si>
  <si>
    <t>Membimbing mahasiswa PKN (≥S1), KKN (S1), PKL (S0) angka kreditnya 1 setiap semester</t>
  </si>
  <si>
    <t>c. PKL</t>
  </si>
  <si>
    <t>jam/semester</t>
  </si>
  <si>
    <t>b. PKN</t>
  </si>
  <si>
    <t>a. KKN</t>
  </si>
  <si>
    <t>KETRANGAN</t>
  </si>
  <si>
    <t>tatap muka</t>
  </si>
  <si>
    <t>(3)</t>
  </si>
  <si>
    <t>(2)</t>
  </si>
  <si>
    <t>(1)</t>
  </si>
  <si>
    <t>Pelaksanaan</t>
  </si>
  <si>
    <t>SKS Riil</t>
  </si>
  <si>
    <t>SKS</t>
  </si>
  <si>
    <t>AKADEMIK</t>
  </si>
  <si>
    <t xml:space="preserve">Rekapitulasi </t>
  </si>
  <si>
    <t>Terstruktur</t>
  </si>
  <si>
    <t>Mandiri</t>
  </si>
  <si>
    <t>Tatap muka</t>
  </si>
  <si>
    <t>(5) = (2)*(3)/(4)</t>
  </si>
  <si>
    <t>(4)</t>
  </si>
  <si>
    <t>Total SKS/Sem</t>
  </si>
  <si>
    <t>Jumlah Dosen Pengampu</t>
  </si>
  <si>
    <t>Jumlah Kelas</t>
  </si>
  <si>
    <t>Mata Kuliah</t>
  </si>
  <si>
    <t>Menguji mahasiswa</t>
  </si>
  <si>
    <t>1 jam/mhs</t>
  </si>
  <si>
    <t>Memberikan pelatihan minimal 1 bulan tingkat lokal</t>
  </si>
  <si>
    <t>1 bln</t>
  </si>
  <si>
    <t>Membimbing KKN</t>
  </si>
  <si>
    <t>50 jam/smt</t>
  </si>
  <si>
    <t>10%</t>
  </si>
  <si>
    <t>Unsur penunjang</t>
  </si>
  <si>
    <t>Pelaksanaan Pengabdian kepada masyarakat</t>
  </si>
  <si>
    <t>40%</t>
  </si>
  <si>
    <t>Pelaksanaan Penelitian</t>
  </si>
  <si>
    <t>Menghasilkan karya yang dipublikasikan di jurnal imiah nasional (1)</t>
  </si>
  <si>
    <t>=</t>
  </si>
  <si>
    <t>Target angka kredit yang direncanakan dalam SKP</t>
  </si>
  <si>
    <t>Pelaksanaan Pendidikan</t>
  </si>
  <si>
    <t>Pembimbing Skripsi (Pembantu) (3)</t>
  </si>
  <si>
    <t>SKS maksimal</t>
  </si>
  <si>
    <t>Membimbing seminar</t>
  </si>
  <si>
    <t>Mengajar 6 sks</t>
  </si>
  <si>
    <t>Sem Ganjil TA 2014</t>
  </si>
  <si>
    <t>Distribusi SKS Lektor Kepala</t>
  </si>
  <si>
    <t>Deskripsi Pekerjaan</t>
  </si>
  <si>
    <t>jam</t>
  </si>
  <si>
    <t>12 SKS</t>
  </si>
  <si>
    <t>Target angka kredit tahunan minimal</t>
  </si>
  <si>
    <t>Menyusun modul (1)</t>
  </si>
  <si>
    <t>Pembimbing Skripsi (Pendamping) (2)</t>
  </si>
  <si>
    <t>Rencana ditempuh dalam waktu</t>
  </si>
  <si>
    <t>35%</t>
  </si>
  <si>
    <t>Pembimbing Skripsi (Utama) (2)</t>
  </si>
  <si>
    <t xml:space="preserve">Untuk naik pangkat/jabatan dibutuhkan angka kredit sejumlah </t>
  </si>
  <si>
    <t>45%</t>
  </si>
  <si>
    <t>Mengajar 9 sks</t>
  </si>
  <si>
    <t>Sem Genap TA 2013</t>
  </si>
  <si>
    <t>angka kredit =</t>
  </si>
  <si>
    <t>Pangkat/jabatan yang dituju</t>
  </si>
  <si>
    <t>Pangkat/jabatan sekarang</t>
  </si>
  <si>
    <t>16 SKS</t>
  </si>
  <si>
    <t>Distribusi SKS Lektor</t>
  </si>
  <si>
    <t>Jumlah Kegiatan</t>
  </si>
  <si>
    <t>II. TUGAS TAMBAHAN DAN KREATIVITAS:</t>
  </si>
  <si>
    <t>Nama Perguruan Tinggi</t>
  </si>
  <si>
    <t>Formulir Sasaran Kerja Pegawai</t>
  </si>
  <si>
    <t>Tanggal Penetapan</t>
  </si>
  <si>
    <t>Penilaian Capaian Sasaran Kerja PNS</t>
  </si>
  <si>
    <t>Jangka Waktu Penilaian</t>
  </si>
  <si>
    <t>Penilaian Prestasi Kerja PNS</t>
  </si>
  <si>
    <t>Instansi</t>
  </si>
  <si>
    <t>Tanggal dibuat oleh pejabat penilai</t>
  </si>
  <si>
    <t>Tanggal diterima PNS yang dinilai</t>
  </si>
  <si>
    <t>Tanggal diterima atasan pejabat penilai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</si>
  <si>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</si>
  <si>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</si>
  <si>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</si>
  <si>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</si>
  <si>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</si>
  <si>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</si>
  <si>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</si>
  <si>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</si>
  <si>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</si>
  <si>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</si>
  <si>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</si>
  <si>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</si>
  <si>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</si>
  <si>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</si>
  <si>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</si>
  <si>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</si>
  <si>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Melaksanakan kegiatan Pengabdian Kepada Masyarakat</t>
  </si>
  <si>
    <t>KODE JABATAN</t>
  </si>
  <si>
    <t>Pembantu/Wakil Rektor</t>
  </si>
  <si>
    <t>Pembantu/ Wakil Ketua Sekolah Tinggi</t>
  </si>
  <si>
    <t>Pembantu/Wakil Dekan</t>
  </si>
  <si>
    <t>Pembantu/Wakil Direktur Politeknik</t>
  </si>
  <si>
    <t>Pembantu/Wakil Direktur Akademi</t>
  </si>
  <si>
    <t>Asisten Ahli</t>
  </si>
  <si>
    <t xml:space="preserve"> tahun</t>
  </si>
  <si>
    <r>
      <t>Total SKS/Sem</t>
    </r>
    <r>
      <rPr>
        <b/>
        <sz val="18"/>
        <color indexed="51"/>
        <rFont val="Arial"/>
        <family val="2"/>
      </rPr>
      <t>*</t>
    </r>
  </si>
  <si>
    <r>
      <rPr>
        <b/>
        <sz val="18"/>
        <color indexed="51"/>
        <rFont val="Arial"/>
        <family val="2"/>
      </rPr>
      <t>*</t>
    </r>
    <r>
      <rPr>
        <b/>
        <sz val="12"/>
        <color indexed="9"/>
        <rFont val="Arial"/>
        <family val="2"/>
      </rPr>
      <t>Total SKS = (sks mata kuliah dibagi jumlah dosen pengampu, dikali jumlah kelas) * SKS</t>
    </r>
  </si>
  <si>
    <r>
      <t>10 SKS pertama</t>
    </r>
    <r>
      <rPr>
        <b/>
        <sz val="16"/>
        <color indexed="51"/>
        <rFont val="Arial"/>
        <family val="2"/>
      </rPr>
      <t>*</t>
    </r>
  </si>
  <si>
    <r>
      <t>SKS berikutnya</t>
    </r>
    <r>
      <rPr>
        <b/>
        <sz val="16"/>
        <color indexed="51"/>
        <rFont val="Arial"/>
        <family val="2"/>
      </rPr>
      <t>*</t>
    </r>
  </si>
  <si>
    <r>
      <t>*</t>
    </r>
    <r>
      <rPr>
        <sz val="12"/>
        <color indexed="9"/>
        <rFont val="Arial"/>
        <family val="2"/>
      </rPr>
      <t>10 SKS Pertama dikali 0,5</t>
    </r>
  </si>
  <si>
    <r>
      <t>*</t>
    </r>
    <r>
      <rPr>
        <sz val="12"/>
        <color indexed="9"/>
        <rFont val="Arial"/>
        <family val="2"/>
      </rPr>
      <t>SKS berikutnya dikali 0,25</t>
    </r>
  </si>
  <si>
    <t>Jumlah 
Mata Kuliah</t>
  </si>
  <si>
    <t>bulan</t>
  </si>
  <si>
    <t>ISIAN DALAM SKP</t>
  </si>
  <si>
    <t>SKS 
Mata Kuliah</t>
  </si>
  <si>
    <t>Melaksanakan Perkuliahan</t>
  </si>
  <si>
    <t>Membimbing Mahasiswa Seminar</t>
  </si>
  <si>
    <r>
      <t>AK</t>
    </r>
    <r>
      <rPr>
        <b/>
        <sz val="16"/>
        <color indexed="51"/>
        <rFont val="Arial"/>
        <family val="2"/>
      </rPr>
      <t>*</t>
    </r>
  </si>
  <si>
    <r>
      <rPr>
        <b/>
        <sz val="16"/>
        <color indexed="51"/>
        <rFont val="Arial"/>
        <family val="2"/>
      </rPr>
      <t xml:space="preserve">* </t>
    </r>
    <r>
      <rPr>
        <b/>
        <sz val="12"/>
        <color indexed="51"/>
        <rFont val="Arial"/>
        <family val="2"/>
      </rPr>
      <t>Membimbing mahasiswa seminar angka kreditnya 1 setiap semester</t>
    </r>
  </si>
  <si>
    <t>Mahasiswa</t>
  </si>
  <si>
    <t>Jumlah Mahasiswa</t>
  </si>
  <si>
    <t>Pangkat</t>
  </si>
  <si>
    <t>Golongan</t>
  </si>
  <si>
    <t>Membimbing Mahasiswa KKN, Praktek Kerja Nyata, Praktek Kerja Lapangan</t>
  </si>
  <si>
    <t xml:space="preserve">TAHUN SKP    </t>
  </si>
  <si>
    <t>Jumlah mahasiswa yang dibimbing (sebagai Pembimbing Utama)</t>
  </si>
  <si>
    <r>
      <t xml:space="preserve">Jumlah </t>
    </r>
    <r>
      <rPr>
        <sz val="18"/>
        <color indexed="51"/>
        <rFont val="Arial"/>
        <family val="2"/>
      </rPr>
      <t>*</t>
    </r>
  </si>
  <si>
    <t>Jumlah mahasiswa yang dibimbing (sebagai Pembimbing Penyerta)</t>
  </si>
  <si>
    <r>
      <rPr>
        <sz val="18"/>
        <color indexed="51"/>
        <rFont val="Arial"/>
        <family val="2"/>
      </rPr>
      <t xml:space="preserve">* </t>
    </r>
    <r>
      <rPr>
        <sz val="12"/>
        <color indexed="9"/>
        <rFont val="Arial"/>
        <family val="2"/>
      </rPr>
      <t xml:space="preserve">angka kredit pembimbing utama adalah jumlah SKS X 1, sedangkan pembimbing penyerta adalah jumlah SKS X 0,5 </t>
    </r>
    <r>
      <rPr>
        <sz val="18"/>
        <color indexed="51"/>
        <rFont val="Arial"/>
        <family val="2"/>
      </rPr>
      <t xml:space="preserve">
**</t>
    </r>
    <r>
      <rPr>
        <sz val="12"/>
        <color indexed="9"/>
        <rFont val="Arial"/>
        <family val="2"/>
      </rPr>
      <t>setiap 6 mahasiswa yang dibimbing dalam 1 semester, memperoleh 1 SKS</t>
    </r>
  </si>
  <si>
    <r>
      <t>SKS</t>
    </r>
    <r>
      <rPr>
        <b/>
        <sz val="18"/>
        <color indexed="51"/>
        <rFont val="Arial"/>
        <family val="2"/>
      </rPr>
      <t>**</t>
    </r>
  </si>
  <si>
    <r>
      <t>AK</t>
    </r>
    <r>
      <rPr>
        <b/>
        <sz val="18"/>
        <color indexed="51"/>
        <rFont val="Arial"/>
        <family val="2"/>
      </rPr>
      <t>*</t>
    </r>
  </si>
  <si>
    <t xml:space="preserve">Jumlah </t>
  </si>
  <si>
    <r>
      <rPr>
        <sz val="18"/>
        <color indexed="51"/>
        <rFont val="Arial"/>
        <family val="2"/>
      </rPr>
      <t xml:space="preserve">* </t>
    </r>
    <r>
      <rPr>
        <sz val="12"/>
        <color indexed="9"/>
        <rFont val="Arial"/>
        <family val="2"/>
      </rPr>
      <t xml:space="preserve">angka kredit pembimbing utama adalah jumlah SKS X 1, sedangkan pembimbing penyerta adalah jumlah SKS X 0,5 </t>
    </r>
    <r>
      <rPr>
        <sz val="18"/>
        <color indexed="51"/>
        <rFont val="Arial"/>
        <family val="2"/>
      </rPr>
      <t xml:space="preserve">
**</t>
    </r>
    <r>
      <rPr>
        <sz val="12"/>
        <color indexed="9"/>
        <rFont val="Arial"/>
        <family val="2"/>
      </rPr>
      <t>setiap 3 mahasiswa yang dibimbing dalam 1 semester, memperoleh 1 SKS</t>
    </r>
  </si>
  <si>
    <r>
      <rPr>
        <sz val="18"/>
        <color indexed="51"/>
        <rFont val="Arial"/>
        <family val="2"/>
      </rPr>
      <t xml:space="preserve">* </t>
    </r>
    <r>
      <rPr>
        <sz val="12"/>
        <color indexed="9"/>
        <rFont val="Arial"/>
        <family val="2"/>
      </rPr>
      <t xml:space="preserve">angka kredit pembimbing utama adalah jumlah SKS X 1, sedangkan pembimbing penyerta adalah jumlah SKS X 0,5 </t>
    </r>
    <r>
      <rPr>
        <sz val="18"/>
        <color indexed="51"/>
        <rFont val="Arial"/>
        <family val="2"/>
      </rPr>
      <t xml:space="preserve">
**</t>
    </r>
    <r>
      <rPr>
        <sz val="12"/>
        <color indexed="9"/>
        <rFont val="Arial"/>
        <family val="2"/>
      </rPr>
      <t>setiap 2 mahasiswa yang dibimbing dalam 1 semester, memperoleh 1 SKS</t>
    </r>
  </si>
  <si>
    <t>Tesis</t>
  </si>
  <si>
    <t>Disertasi</t>
  </si>
  <si>
    <r>
      <rPr>
        <sz val="18"/>
        <color indexed="51"/>
        <rFont val="Arial"/>
        <family val="2"/>
      </rPr>
      <t xml:space="preserve">* </t>
    </r>
    <r>
      <rPr>
        <sz val="12"/>
        <color indexed="9"/>
        <rFont val="Arial"/>
        <family val="2"/>
      </rPr>
      <t xml:space="preserve">angka kredit sebagai ketua penguji adalah jumlah Mahasiswa X 1, sedangkan anggota penguji adalah jumlah mahasiswa X 0,5 </t>
    </r>
    <r>
      <rPr>
        <sz val="18"/>
        <color indexed="51"/>
        <rFont val="Arial"/>
        <family val="2"/>
      </rPr>
      <t xml:space="preserve">
</t>
    </r>
  </si>
  <si>
    <t xml:space="preserve"> </t>
  </si>
  <si>
    <t>Jumlah mahasiswa yang diuji (sebagai Ketua Penguji) (1)</t>
  </si>
  <si>
    <t>Jumlah mahasiswa yang diuji (sebagai Anggota Penguji) (2)</t>
  </si>
  <si>
    <t>Jumlah (1) + (2)</t>
  </si>
  <si>
    <t>Jumlah (3) + (4)</t>
  </si>
  <si>
    <t>Jumlah mahasiswa yang diuji (sebagai Ketua Penguji) (3)</t>
  </si>
  <si>
    <t>Jumlah mahasiswa yang diuji (sebagai Anggota Penguji) (4)</t>
  </si>
  <si>
    <t>Total (1)+(2)+(3)+(4)</t>
  </si>
  <si>
    <r>
      <t>AK</t>
    </r>
    <r>
      <rPr>
        <b/>
        <sz val="18"/>
        <color indexed="13"/>
        <rFont val="Arial"/>
        <family val="2"/>
      </rPr>
      <t>**</t>
    </r>
  </si>
  <si>
    <r>
      <rPr>
        <sz val="18"/>
        <color indexed="51"/>
        <rFont val="Arial"/>
        <family val="2"/>
      </rPr>
      <t xml:space="preserve">* </t>
    </r>
    <r>
      <rPr>
        <sz val="12"/>
        <color indexed="9"/>
        <rFont val="Arial"/>
        <family val="2"/>
      </rPr>
      <t>angka kredit adalah 2 per kegiatan per semester</t>
    </r>
    <r>
      <rPr>
        <sz val="18"/>
        <color indexed="51"/>
        <rFont val="Arial"/>
        <family val="2"/>
      </rPr>
      <t xml:space="preserve">
</t>
    </r>
  </si>
  <si>
    <t>10.1</t>
  </si>
  <si>
    <t>10.2</t>
  </si>
  <si>
    <t xml:space="preserve">Jumlah Bahan </t>
  </si>
  <si>
    <t>Jumlah Karya</t>
  </si>
  <si>
    <r>
      <t xml:space="preserve">KETERANGAN
</t>
    </r>
    <r>
      <rPr>
        <sz val="8"/>
        <color indexed="9"/>
        <rFont val="Arial"/>
        <family val="2"/>
      </rPr>
      <t>*) Untuk semua tugas pada kolom ini, target waktu SKP akan dibuat 12 bulan</t>
    </r>
  </si>
  <si>
    <t>Mengembangkan Bahan Kuliah</t>
  </si>
  <si>
    <t>Periode ditandarkan dalam 1 ( satu ) Tahun</t>
  </si>
  <si>
    <t>Kegiatan Terakui</t>
  </si>
  <si>
    <t>a. Kegiatan Abdimas lebih dari 6 bulan</t>
  </si>
  <si>
    <t>b. Kegiatan Abdimas kurang dari 6 bulan</t>
  </si>
  <si>
    <t>c. Kegiatan Abdimas yang dilaksanakan dalam periode waktu 1 tahun</t>
  </si>
  <si>
    <t>Nama Jabatan</t>
  </si>
  <si>
    <t>11.1</t>
  </si>
  <si>
    <t>11.2</t>
  </si>
  <si>
    <t>11.3</t>
  </si>
  <si>
    <t>Nama Kegiatan</t>
  </si>
  <si>
    <t>No.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</si>
  <si>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</si>
  <si>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</si>
  <si>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</si>
  <si>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</si>
  <si>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</si>
  <si>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</si>
  <si>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</si>
  <si>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</si>
  <si>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</si>
  <si>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</si>
  <si>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</si>
  <si>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</si>
  <si>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Unsur Penunjang</t>
  </si>
  <si>
    <r>
      <t xml:space="preserve">UNSUR PENUNJANG
</t>
    </r>
    <r>
      <rPr>
        <b/>
        <sz val="11"/>
        <color indexed="51"/>
        <rFont val="Calibri"/>
        <family val="2"/>
      </rPr>
      <t>ISIKAN DETAIL KEGIATAN PENUNJANG SESUAI DENGAN LAMPIRAN PERMENPAN 17/2013</t>
    </r>
  </si>
  <si>
    <r>
      <rPr>
        <b/>
        <sz val="14"/>
        <color indexed="23"/>
        <rFont val="Arial"/>
        <family val="2"/>
      </rPr>
      <t xml:space="preserve">Waktu Kegiatan
</t>
    </r>
    <r>
      <rPr>
        <b/>
        <sz val="10"/>
        <color indexed="23"/>
        <rFont val="Arial"/>
        <family val="2"/>
      </rPr>
      <t>dalam bulan
(harus kurang dari 6 bulan</t>
    </r>
  </si>
  <si>
    <r>
      <t xml:space="preserve">Waktu Kegiatan
</t>
    </r>
    <r>
      <rPr>
        <b/>
        <sz val="10"/>
        <color indexed="23"/>
        <rFont val="Arial"/>
        <family val="2"/>
      </rPr>
      <t>dalam bulan</t>
    </r>
  </si>
  <si>
    <t>`</t>
  </si>
  <si>
    <t>Melaksanakan Kegiatan Pengabdian Kepada Masyarakat</t>
  </si>
  <si>
    <r>
      <t>UKM Pramuka</t>
    </r>
    <r>
      <rPr>
        <sz val="12"/>
        <color indexed="13"/>
        <rFont val="Arial"/>
        <family val="2"/>
      </rPr>
      <t xml:space="preserve"> (contoh)</t>
    </r>
  </si>
  <si>
    <r>
      <t xml:space="preserve">UKM PSM </t>
    </r>
    <r>
      <rPr>
        <sz val="12"/>
        <color indexed="13"/>
        <rFont val="Arial"/>
        <family val="2"/>
      </rPr>
      <t xml:space="preserve"> (contoh)</t>
    </r>
  </si>
  <si>
    <t>NAMA KEGIATAN YANG DIBIMBING</t>
  </si>
  <si>
    <r>
      <t xml:space="preserve">Perwalian Mahasiswa/Dosen Wali </t>
    </r>
    <r>
      <rPr>
        <sz val="12"/>
        <color indexed="13"/>
        <rFont val="Arial"/>
        <family val="2"/>
      </rPr>
      <t xml:space="preserve"> (contoh)</t>
    </r>
  </si>
  <si>
    <t>Jika Menjabat pada semester ini
isikan Kode Jabatan pada kolom ini -------------------------&gt;</t>
  </si>
  <si>
    <t>MOHON TIDAK MENGISI BIDANG APAPUN KECUALI PADA BIDANG YANG SUDAH DITENTUKAN</t>
  </si>
  <si>
    <r>
      <rPr>
        <b/>
        <sz val="18"/>
        <rFont val="Arial"/>
        <family val="2"/>
      </rPr>
      <t>KOLOM ISIAN TARGET KINERJA
BERDASARKAN PENCARIAN ANGKA KREDIT</t>
    </r>
    <r>
      <rPr>
        <b/>
        <sz val="18"/>
        <color indexed="51"/>
        <rFont val="Arial"/>
        <family val="2"/>
      </rPr>
      <t xml:space="preserve">
</t>
    </r>
    <r>
      <rPr>
        <b/>
        <sz val="16"/>
        <color indexed="60"/>
        <rFont val="Arial"/>
        <family val="2"/>
      </rPr>
      <t xml:space="preserve">SILAHKAN ISI BIDANG </t>
    </r>
    <r>
      <rPr>
        <b/>
        <sz val="16"/>
        <color indexed="9"/>
        <rFont val="Arial"/>
        <family val="2"/>
      </rPr>
      <t>PUTIH</t>
    </r>
    <r>
      <rPr>
        <b/>
        <sz val="16"/>
        <color indexed="60"/>
        <rFont val="Arial"/>
        <family val="2"/>
      </rPr>
      <t xml:space="preserve"> DENGAN DATA YANG DIPERLUKAN</t>
    </r>
  </si>
  <si>
    <t>Universitas Wijaya Kusuma Surabaya</t>
  </si>
  <si>
    <t>2 Januari 2019</t>
  </si>
  <si>
    <t>31 Desember 2019</t>
  </si>
  <si>
    <t>2 Januari s.d. 31 Desember 2019</t>
  </si>
  <si>
    <t>2 Januari 2020</t>
  </si>
  <si>
    <t>7 Januari 2020</t>
  </si>
  <si>
    <t>a.      N a m a</t>
  </si>
  <si>
    <t>c.      Pangkat, Golongan ruang, TMT</t>
  </si>
  <si>
    <t>d.      Jabatan/Pekerjaan</t>
  </si>
  <si>
    <t>e.      Unit Organisasi</t>
  </si>
  <si>
    <t>Pembina / IV-a</t>
  </si>
  <si>
    <t>UNIVERSITAS WIJAYA KUSUMA SURABAYA</t>
  </si>
  <si>
    <t>Prof. H. Sri Harmadji, dr.,Sp.,THT-KL(K)</t>
  </si>
  <si>
    <t>12.636 - ET.</t>
  </si>
  <si>
    <t>Pembina Utama (IV/e)</t>
  </si>
  <si>
    <t>NIK</t>
  </si>
  <si>
    <t>3 Januari 2020</t>
  </si>
  <si>
    <t>DOSEN TETAP YAYASAN WIJAYA KUSUMA</t>
  </si>
  <si>
    <t>II. DOSEN TETAP YAYASAN YANG DINILAI</t>
  </si>
  <si>
    <t>DOSEN TETAP YAYASAN YANG DINILAI</t>
  </si>
  <si>
    <t>5. KEBERATAN DARI DOSEN TETAP</t>
  </si>
  <si>
    <t xml:space="preserve">    YAYASAN YANG DINILAI  (APABILA ADA)</t>
  </si>
  <si>
    <t>Lektor</t>
  </si>
  <si>
    <t>b.      N I K</t>
  </si>
  <si>
    <t>Reza Syehma Bahtiar, S.Pd., M.Pd.</t>
  </si>
  <si>
    <t>15744 - ET.</t>
  </si>
  <si>
    <t>III-b</t>
  </si>
  <si>
    <t>FAKULTAS BAHASA DAN SAINS</t>
  </si>
  <si>
    <t>Penata Muda TK.I</t>
  </si>
  <si>
    <t>Fakultas Bahasa dan Sains Univ.Wijaya Kusuma Surabaya</t>
  </si>
  <si>
    <t>Dr. Fransisca Dwi Harjanti, M.Pd</t>
  </si>
  <si>
    <t>94239 - ET.</t>
  </si>
</sst>
</file>

<file path=xl/styles.xml><?xml version="1.0" encoding="utf-8"?>
<styleSheet xmlns="http://schemas.openxmlformats.org/spreadsheetml/2006/main">
  <numFmts count="3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421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000"/>
    <numFmt numFmtId="188" formatCode="0.00000000"/>
    <numFmt numFmtId="189" formatCode="0.0000000"/>
    <numFmt numFmtId="190" formatCode="#,##0;[Red]#,##0"/>
    <numFmt numFmtId="191" formatCode="#,##0.00;[Red]#,##0.00"/>
    <numFmt numFmtId="192" formatCode="0.00;[Red]0.00"/>
    <numFmt numFmtId="193" formatCode="0;[Red]0"/>
  </numFmts>
  <fonts count="18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sz val="16"/>
      <name val="Arial"/>
      <family val="2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36"/>
      <name val="Aharoni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b/>
      <sz val="18"/>
      <color indexed="51"/>
      <name val="Arial"/>
      <family val="2"/>
    </font>
    <font>
      <b/>
      <sz val="16"/>
      <color indexed="51"/>
      <name val="Arial"/>
      <family val="2"/>
    </font>
    <font>
      <sz val="18"/>
      <name val="Arial"/>
      <family val="2"/>
    </font>
    <font>
      <b/>
      <sz val="18"/>
      <color indexed="13"/>
      <name val="Arial"/>
      <family val="2"/>
    </font>
    <font>
      <sz val="18"/>
      <color indexed="51"/>
      <name val="Arial"/>
      <family val="2"/>
    </font>
    <font>
      <sz val="8"/>
      <color indexed="9"/>
      <name val="Arial"/>
      <family val="2"/>
    </font>
    <font>
      <b/>
      <sz val="11"/>
      <color indexed="51"/>
      <name val="Calibri"/>
      <family val="2"/>
    </font>
    <font>
      <b/>
      <sz val="10"/>
      <color indexed="23"/>
      <name val="Arial"/>
      <family val="2"/>
    </font>
    <font>
      <b/>
      <sz val="14"/>
      <color indexed="23"/>
      <name val="Arial"/>
      <family val="2"/>
    </font>
    <font>
      <i/>
      <sz val="10"/>
      <name val="Arial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sz val="16"/>
      <color indexed="9"/>
      <name val="Arial"/>
      <family val="2"/>
    </font>
    <font>
      <b/>
      <sz val="16"/>
      <color indexed="60"/>
      <name val="Arial"/>
      <family val="2"/>
    </font>
    <font>
      <sz val="12"/>
      <color indexed="13"/>
      <name val="Arial"/>
      <family val="2"/>
    </font>
    <font>
      <b/>
      <sz val="11"/>
      <name val="Tahoma"/>
      <family val="2"/>
    </font>
    <font>
      <b/>
      <sz val="28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 Narrow"/>
      <family val="2"/>
    </font>
    <font>
      <sz val="11"/>
      <name val="Calibri"/>
      <family val="2"/>
    </font>
    <font>
      <sz val="12"/>
      <color indexed="55"/>
      <name val="Arial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12"/>
      <color indexed="51"/>
      <name val="Arial"/>
      <family val="2"/>
    </font>
    <font>
      <sz val="22"/>
      <color indexed="51"/>
      <name val="Arial"/>
      <family val="2"/>
    </font>
    <font>
      <sz val="12"/>
      <color indexed="23"/>
      <name val="Arial"/>
      <family val="2"/>
    </font>
    <font>
      <b/>
      <sz val="12"/>
      <color indexed="13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51"/>
      <name val="Arial"/>
      <family val="2"/>
    </font>
    <font>
      <b/>
      <sz val="14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 Narrow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color indexed="9"/>
      <name val="Arial"/>
      <family val="2"/>
    </font>
    <font>
      <sz val="14"/>
      <color indexed="9"/>
      <name val="Arial Narrow"/>
      <family val="2"/>
    </font>
    <font>
      <b/>
      <sz val="14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9"/>
      <name val="Calibri"/>
      <family val="2"/>
    </font>
    <font>
      <sz val="18"/>
      <color indexed="23"/>
      <name val="Arial"/>
      <family val="2"/>
    </font>
    <font>
      <sz val="8"/>
      <color indexed="23"/>
      <name val="Arial"/>
      <family val="2"/>
    </font>
    <font>
      <b/>
      <sz val="16"/>
      <color indexed="51"/>
      <name val="Calibri"/>
      <family val="2"/>
    </font>
    <font>
      <sz val="16"/>
      <color indexed="51"/>
      <name val="Calibri"/>
      <family val="2"/>
    </font>
    <font>
      <b/>
      <sz val="14"/>
      <color indexed="9"/>
      <name val="Calibri"/>
      <family val="2"/>
    </font>
    <font>
      <b/>
      <sz val="14"/>
      <color indexed="13"/>
      <name val="Calibri"/>
      <family val="2"/>
    </font>
    <font>
      <sz val="10"/>
      <color indexed="13"/>
      <name val="Arial"/>
      <family val="2"/>
    </font>
    <font>
      <sz val="14"/>
      <color indexed="13"/>
      <name val="Arial"/>
      <family val="2"/>
    </font>
    <font>
      <sz val="14"/>
      <color indexed="60"/>
      <name val="Arial"/>
      <family val="2"/>
    </font>
    <font>
      <sz val="18"/>
      <color indexed="13"/>
      <name val="Arial"/>
      <family val="2"/>
    </font>
    <font>
      <b/>
      <sz val="20"/>
      <color indexed="51"/>
      <name val="Arial"/>
      <family val="2"/>
    </font>
    <font>
      <b/>
      <sz val="18"/>
      <color indexed="60"/>
      <name val="Arial Narrow"/>
      <family val="2"/>
    </font>
    <font>
      <b/>
      <sz val="18"/>
      <color indexed="47"/>
      <name val="Calibri"/>
      <family val="0"/>
    </font>
    <font>
      <b/>
      <u val="single"/>
      <sz val="11"/>
      <color indexed="9"/>
      <name val="Calibri"/>
      <family val="0"/>
    </font>
    <font>
      <b/>
      <u val="single"/>
      <sz val="11"/>
      <color indexed="60"/>
      <name val="Calibri"/>
      <family val="0"/>
    </font>
    <font>
      <b/>
      <sz val="11"/>
      <color indexed="60"/>
      <name val="Calibri"/>
      <family val="0"/>
    </font>
    <font>
      <b/>
      <u val="single"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2"/>
      <color theme="0" tint="-0.3499799966812134"/>
      <name val="Arial"/>
      <family val="2"/>
    </font>
    <font>
      <b/>
      <sz val="10"/>
      <color theme="1"/>
      <name val="Calibri"/>
      <family val="2"/>
    </font>
    <font>
      <sz val="12"/>
      <color theme="0"/>
      <name val="Arial"/>
      <family val="2"/>
    </font>
    <font>
      <b/>
      <sz val="12"/>
      <color rgb="FFFFC000"/>
      <name val="Arial"/>
      <family val="2"/>
    </font>
    <font>
      <sz val="10"/>
      <color theme="0"/>
      <name val="Arial"/>
      <family val="2"/>
    </font>
    <font>
      <sz val="12"/>
      <color rgb="FFFFC000"/>
      <name val="Arial"/>
      <family val="2"/>
    </font>
    <font>
      <sz val="22"/>
      <color rgb="FFFFC000"/>
      <name val="Arial"/>
      <family val="2"/>
    </font>
    <font>
      <sz val="12"/>
      <color theme="0" tint="-0.4999699890613556"/>
      <name val="Arial"/>
      <family val="2"/>
    </font>
    <font>
      <sz val="12"/>
      <color theme="1" tint="0.49998000264167786"/>
      <name val="Arial"/>
      <family val="2"/>
    </font>
    <font>
      <b/>
      <sz val="12"/>
      <color rgb="FFFFFF00"/>
      <name val="Arial"/>
      <family val="2"/>
    </font>
    <font>
      <b/>
      <sz val="18"/>
      <color theme="0"/>
      <name val="Arial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C000"/>
      <name val="Arial"/>
      <family val="2"/>
    </font>
    <font>
      <b/>
      <sz val="14"/>
      <color theme="0"/>
      <name val="Arial"/>
      <family val="2"/>
    </font>
    <font>
      <sz val="18"/>
      <color theme="0"/>
      <name val="Arial"/>
      <family val="2"/>
    </font>
    <font>
      <sz val="12"/>
      <color theme="0"/>
      <name val="Arial Narrow"/>
      <family val="2"/>
    </font>
    <font>
      <sz val="18"/>
      <color rgb="FFFFC000"/>
      <name val="Arial"/>
      <family val="2"/>
    </font>
    <font>
      <sz val="14"/>
      <color theme="0"/>
      <name val="Arial"/>
      <family val="2"/>
    </font>
    <font>
      <sz val="14"/>
      <color theme="0"/>
      <name val="Arial Narrow"/>
      <family val="2"/>
    </font>
    <font>
      <b/>
      <sz val="14"/>
      <color rgb="FFFFFF00"/>
      <name val="Arial"/>
      <family val="2"/>
    </font>
    <font>
      <b/>
      <sz val="10"/>
      <color rgb="FFFFFF00"/>
      <name val="Arial"/>
      <family val="2"/>
    </font>
    <font>
      <b/>
      <sz val="16"/>
      <color theme="0"/>
      <name val="Calibri"/>
      <family val="2"/>
    </font>
    <font>
      <sz val="18"/>
      <color theme="0" tint="-0.4999699890613556"/>
      <name val="Arial"/>
      <family val="2"/>
    </font>
    <font>
      <sz val="8"/>
      <color theme="0"/>
      <name val="Arial"/>
      <family val="2"/>
    </font>
    <font>
      <sz val="8"/>
      <color theme="0" tint="-0.4999699890613556"/>
      <name val="Arial"/>
      <family val="2"/>
    </font>
    <font>
      <b/>
      <sz val="16"/>
      <color rgb="FFFFC000"/>
      <name val="Calibri"/>
      <family val="2"/>
    </font>
    <font>
      <sz val="16"/>
      <color rgb="FFFFC000"/>
      <name val="Calibri"/>
      <family val="2"/>
    </font>
    <font>
      <b/>
      <sz val="14"/>
      <color theme="0"/>
      <name val="Calibri"/>
      <family val="2"/>
    </font>
    <font>
      <b/>
      <sz val="14"/>
      <color rgb="FFFFFF00"/>
      <name val="Calibri"/>
      <family val="2"/>
    </font>
    <font>
      <b/>
      <sz val="10"/>
      <color theme="0" tint="-0.4999699890613556"/>
      <name val="Arial"/>
      <family val="2"/>
    </font>
    <font>
      <b/>
      <sz val="14"/>
      <color theme="0" tint="-0.4999699890613556"/>
      <name val="Arial"/>
      <family val="2"/>
    </font>
    <font>
      <b/>
      <sz val="16"/>
      <color rgb="FFFFC000"/>
      <name val="Arial"/>
      <family val="2"/>
    </font>
    <font>
      <b/>
      <sz val="14"/>
      <color theme="1" tint="0.49998000264167786"/>
      <name val="Arial"/>
      <family val="2"/>
    </font>
    <font>
      <sz val="10"/>
      <color rgb="FFFFFF00"/>
      <name val="Arial"/>
      <family val="2"/>
    </font>
    <font>
      <sz val="14"/>
      <color rgb="FFFFFF00"/>
      <name val="Arial"/>
      <family val="2"/>
    </font>
    <font>
      <sz val="14"/>
      <color rgb="FFC00000"/>
      <name val="Arial"/>
      <family val="2"/>
    </font>
    <font>
      <sz val="18"/>
      <color rgb="FFFFFF00"/>
      <name val="Arial"/>
      <family val="2"/>
    </font>
    <font>
      <b/>
      <sz val="20"/>
      <color rgb="FFFFC000"/>
      <name val="Arial"/>
      <family val="2"/>
    </font>
    <font>
      <b/>
      <sz val="18"/>
      <color rgb="FFFFC000"/>
      <name val="Arial"/>
      <family val="2"/>
    </font>
    <font>
      <b/>
      <sz val="18"/>
      <color rgb="FFC0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4999699890613556"/>
        <bgColor indexed="64"/>
      </patternFill>
    </fill>
  </fills>
  <borders count="1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>
        <color indexed="63"/>
      </top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 style="double"/>
      <right style="double"/>
      <top style="thin"/>
      <bottom/>
    </border>
    <border>
      <left/>
      <right style="double"/>
      <top/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/>
      <right style="double"/>
      <top style="thin"/>
      <bottom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hair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theme="0"/>
      </right>
      <top>
        <color indexed="63"/>
      </top>
      <bottom style="medium"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>
        <color theme="8" tint="0.39998000860214233"/>
      </left>
      <right style="medium">
        <color theme="8" tint="0.39998000860214233"/>
      </right>
      <top style="medium">
        <color theme="8" tint="0.39998000860214233"/>
      </top>
      <bottom style="medium">
        <color theme="8" tint="0.3999800086021423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/>
      <top style="medium"/>
      <bottom style="double"/>
    </border>
    <border>
      <left style="medium"/>
      <right style="double"/>
      <top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double"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double"/>
      <top style="double"/>
      <bottom style="medium"/>
    </border>
    <border>
      <left style="medium"/>
      <right style="hair"/>
      <top style="hair"/>
      <bottom style="hair"/>
    </border>
    <border>
      <left style="double"/>
      <right style="thin">
        <color rgb="FFFFFF00"/>
      </right>
      <top style="thin"/>
      <bottom style="thin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theme="0"/>
      </left>
      <right style="medium">
        <color theme="0"/>
      </right>
      <top>
        <color indexed="63"/>
      </top>
      <bottom style="medium"/>
    </border>
    <border>
      <left style="medium">
        <color theme="0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>
        <color rgb="FFFFFF00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 style="thin">
        <color rgb="FFFFFF00"/>
      </right>
      <top>
        <color indexed="63"/>
      </top>
      <bottom>
        <color indexed="63"/>
      </bottom>
    </border>
    <border>
      <left style="thin">
        <color rgb="FFFFFF00"/>
      </left>
      <right style="thin">
        <color rgb="FFFFFF00"/>
      </right>
      <top>
        <color indexed="63"/>
      </top>
      <bottom style="thin">
        <color rgb="FFFFFF00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0" applyNumberFormat="0" applyBorder="0" applyAlignment="0" applyProtection="0"/>
    <xf numFmtId="0" fontId="0" fillId="28" borderId="1" applyNumberFormat="0" applyFon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2" applyNumberFormat="0" applyFill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29" fillId="0" borderId="0" applyNumberFormat="0" applyFill="0" applyBorder="0" applyAlignment="0" applyProtection="0"/>
    <xf numFmtId="0" fontId="130" fillId="2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1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31" borderId="0" applyNumberFormat="0" applyBorder="0" applyAlignment="0" applyProtection="0"/>
    <xf numFmtId="0" fontId="0" fillId="0" borderId="0">
      <alignment/>
      <protection/>
    </xf>
    <xf numFmtId="0" fontId="121" fillId="0" borderId="0">
      <alignment/>
      <protection/>
    </xf>
    <xf numFmtId="0" fontId="134" fillId="29" borderId="6" applyNumberFormat="0" applyAlignment="0" applyProtection="0"/>
    <xf numFmtId="9" fontId="0" fillId="0" borderId="0" applyFont="0" applyFill="0" applyBorder="0" applyAlignment="0" applyProtection="0"/>
    <xf numFmtId="0" fontId="135" fillId="32" borderId="7" applyNumberFormat="0" applyAlignment="0" applyProtection="0"/>
    <xf numFmtId="0" fontId="136" fillId="0" borderId="8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</cellStyleXfs>
  <cellXfs count="97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8" fontId="11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vertical="center"/>
    </xf>
    <xf numFmtId="186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28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178" fontId="15" fillId="0" borderId="30" xfId="0" applyNumberFormat="1" applyFont="1" applyBorder="1" applyAlignment="1">
      <alignment horizontal="center" vertical="center"/>
    </xf>
    <xf numFmtId="171" fontId="15" fillId="0" borderId="31" xfId="0" applyNumberFormat="1" applyFont="1" applyBorder="1" applyAlignment="1">
      <alignment horizontal="center" vertical="center" wrapText="1"/>
    </xf>
    <xf numFmtId="9" fontId="15" fillId="0" borderId="32" xfId="0" applyNumberFormat="1" applyFont="1" applyBorder="1" applyAlignment="1">
      <alignment horizontal="center" vertical="center" wrapText="1"/>
    </xf>
    <xf numFmtId="2" fontId="17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7" fillId="34" borderId="33" xfId="0" applyFont="1" applyFill="1" applyBorder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2" fontId="17" fillId="0" borderId="35" xfId="0" applyNumberFormat="1" applyFont="1" applyBorder="1" applyAlignment="1">
      <alignment horizontal="center" vertical="center" wrapText="1"/>
    </xf>
    <xf numFmtId="9" fontId="15" fillId="0" borderId="33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vertical="center"/>
    </xf>
    <xf numFmtId="2" fontId="15" fillId="0" borderId="35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15" fillId="0" borderId="28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5" fillId="0" borderId="37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15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35" borderId="51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9" fontId="21" fillId="35" borderId="45" xfId="0" applyNumberFormat="1" applyFont="1" applyFill="1" applyBorder="1" applyAlignment="1">
      <alignment horizontal="center" vertical="center"/>
    </xf>
    <xf numFmtId="169" fontId="21" fillId="35" borderId="2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12" fillId="35" borderId="52" xfId="0" applyFont="1" applyFill="1" applyBorder="1" applyAlignment="1">
      <alignment horizontal="center" vertical="center"/>
    </xf>
    <xf numFmtId="1" fontId="12" fillId="35" borderId="14" xfId="0" applyNumberFormat="1" applyFont="1" applyFill="1" applyBorder="1" applyAlignment="1">
      <alignment horizontal="center" vertical="center"/>
    </xf>
    <xf numFmtId="1" fontId="12" fillId="35" borderId="51" xfId="0" applyNumberFormat="1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  <xf numFmtId="2" fontId="12" fillId="35" borderId="14" xfId="0" applyNumberFormat="1" applyFont="1" applyFill="1" applyBorder="1" applyAlignment="1">
      <alignment horizontal="center" vertical="center"/>
    </xf>
    <xf numFmtId="2" fontId="12" fillId="35" borderId="19" xfId="0" applyNumberFormat="1" applyFont="1" applyFill="1" applyBorder="1" applyAlignment="1">
      <alignment horizontal="center" vertical="center"/>
    </xf>
    <xf numFmtId="0" fontId="23" fillId="0" borderId="46" xfId="0" applyFont="1" applyBorder="1" applyAlignment="1">
      <alignment horizontal="left" vertical="center"/>
    </xf>
    <xf numFmtId="0" fontId="0" fillId="0" borderId="0" xfId="0" applyFont="1" applyAlignment="1" quotePrefix="1">
      <alignment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center"/>
    </xf>
    <xf numFmtId="0" fontId="15" fillId="0" borderId="5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190" fontId="0" fillId="0" borderId="0" xfId="0" applyNumberFormat="1" applyFont="1" applyAlignment="1">
      <alignment/>
    </xf>
    <xf numFmtId="190" fontId="9" fillId="0" borderId="16" xfId="0" applyNumberFormat="1" applyFont="1" applyBorder="1" applyAlignment="1">
      <alignment horizontal="center" vertical="center" wrapText="1"/>
    </xf>
    <xf numFmtId="190" fontId="10" fillId="33" borderId="14" xfId="0" applyNumberFormat="1" applyFont="1" applyFill="1" applyBorder="1" applyAlignment="1">
      <alignment horizontal="center" vertical="center" wrapText="1"/>
    </xf>
    <xf numFmtId="190" fontId="7" fillId="0" borderId="23" xfId="0" applyNumberFormat="1" applyFont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0" xfId="0" applyNumberFormat="1" applyFont="1" applyAlignment="1">
      <alignment/>
    </xf>
    <xf numFmtId="0" fontId="6" fillId="36" borderId="4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49" fontId="15" fillId="0" borderId="37" xfId="0" applyNumberFormat="1" applyFont="1" applyBorder="1" applyAlignment="1">
      <alignment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top"/>
    </xf>
    <xf numFmtId="0" fontId="6" fillId="0" borderId="4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35" borderId="52" xfId="0" applyFont="1" applyFill="1" applyBorder="1" applyAlignment="1">
      <alignment horizontal="left" vertical="center" wrapText="1"/>
    </xf>
    <xf numFmtId="0" fontId="12" fillId="35" borderId="20" xfId="0" applyFont="1" applyFill="1" applyBorder="1" applyAlignment="1">
      <alignment horizontal="left" vertical="center" wrapText="1"/>
    </xf>
    <xf numFmtId="0" fontId="12" fillId="35" borderId="52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12" fillId="35" borderId="20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57" xfId="0" applyFont="1" applyBorder="1" applyAlignment="1">
      <alignment horizontal="center" vertical="center"/>
    </xf>
    <xf numFmtId="0" fontId="140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40" fillId="0" borderId="0" xfId="0" applyFont="1" applyFill="1" applyAlignment="1">
      <alignment vertical="center"/>
    </xf>
    <xf numFmtId="0" fontId="25" fillId="18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35" borderId="0" xfId="0" applyFont="1" applyFill="1" applyAlignment="1">
      <alignment vertical="center"/>
    </xf>
    <xf numFmtId="0" fontId="28" fillId="35" borderId="0" xfId="0" applyFont="1" applyFill="1" applyBorder="1" applyAlignment="1" quotePrefix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141" fillId="35" borderId="0" xfId="0" applyFont="1" applyFill="1" applyBorder="1" applyAlignment="1" quotePrefix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38" borderId="0" xfId="0" applyFont="1" applyFill="1" applyAlignment="1">
      <alignment vertical="center"/>
    </xf>
    <xf numFmtId="0" fontId="4" fillId="35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14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93" fontId="25" fillId="0" borderId="57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vertical="center"/>
    </xf>
    <xf numFmtId="0" fontId="25" fillId="39" borderId="0" xfId="0" applyFont="1" applyFill="1" applyAlignment="1">
      <alignment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 quotePrefix="1">
      <alignment vertical="center"/>
    </xf>
    <xf numFmtId="0" fontId="25" fillId="0" borderId="64" xfId="0" applyFont="1" applyBorder="1" applyAlignment="1" quotePrefix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5" xfId="0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0" fontId="140" fillId="14" borderId="0" xfId="0" applyFont="1" applyFill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140" fillId="0" borderId="0" xfId="0" applyFont="1" applyAlignment="1">
      <alignment horizontal="center" vertical="center"/>
    </xf>
    <xf numFmtId="0" fontId="140" fillId="35" borderId="0" xfId="0" applyFont="1" applyFill="1" applyBorder="1" applyAlignment="1">
      <alignment vertical="center"/>
    </xf>
    <xf numFmtId="0" fontId="142" fillId="40" borderId="0" xfId="0" applyFont="1" applyFill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5" fillId="35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5" fillId="35" borderId="67" xfId="0" applyFont="1" applyFill="1" applyBorder="1" applyAlignment="1">
      <alignment vertical="center"/>
    </xf>
    <xf numFmtId="0" fontId="5" fillId="0" borderId="52" xfId="0" applyFont="1" applyBorder="1" applyAlignment="1">
      <alignment/>
    </xf>
    <xf numFmtId="0" fontId="5" fillId="0" borderId="0" xfId="0" applyFont="1" applyBorder="1" applyAlignment="1">
      <alignment/>
    </xf>
    <xf numFmtId="169" fontId="5" fillId="0" borderId="68" xfId="0" applyNumberFormat="1" applyFont="1" applyBorder="1" applyAlignment="1">
      <alignment horizontal="center" vertical="center"/>
    </xf>
    <xf numFmtId="169" fontId="21" fillId="35" borderId="1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2" fillId="35" borderId="52" xfId="0" applyNumberFormat="1" applyFont="1" applyFill="1" applyBorder="1" applyAlignment="1" quotePrefix="1">
      <alignment horizontal="center" vertical="center"/>
    </xf>
    <xf numFmtId="0" fontId="12" fillId="35" borderId="52" xfId="0" applyFont="1" applyFill="1" applyBorder="1" applyAlignment="1">
      <alignment horizontal="right" vertical="center" wrapText="1"/>
    </xf>
    <xf numFmtId="0" fontId="12" fillId="35" borderId="20" xfId="0" applyFont="1" applyFill="1" applyBorder="1" applyAlignment="1">
      <alignment horizontal="right" vertical="center" wrapText="1"/>
    </xf>
    <xf numFmtId="0" fontId="143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vertical="center"/>
    </xf>
    <xf numFmtId="0" fontId="25" fillId="41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0" fontId="33" fillId="34" borderId="69" xfId="0" applyFont="1" applyFill="1" applyBorder="1" applyAlignment="1">
      <alignment horizontal="justify" vertical="center"/>
    </xf>
    <xf numFmtId="0" fontId="33" fillId="34" borderId="69" xfId="0" applyFont="1" applyFill="1" applyBorder="1" applyAlignment="1">
      <alignment vertical="center"/>
    </xf>
    <xf numFmtId="15" fontId="34" fillId="0" borderId="69" xfId="0" applyNumberFormat="1" applyFont="1" applyBorder="1" applyAlignment="1" quotePrefix="1">
      <alignment vertical="center"/>
    </xf>
    <xf numFmtId="0" fontId="34" fillId="0" borderId="69" xfId="0" applyNumberFormat="1" applyFont="1" applyBorder="1" applyAlignment="1">
      <alignment vertical="center"/>
    </xf>
    <xf numFmtId="0" fontId="34" fillId="0" borderId="69" xfId="0" applyNumberFormat="1" applyFont="1" applyBorder="1" applyAlignment="1" quotePrefix="1">
      <alignment vertical="center"/>
    </xf>
    <xf numFmtId="0" fontId="78" fillId="0" borderId="69" xfId="0" applyFont="1" applyBorder="1" applyAlignment="1">
      <alignment vertical="center"/>
    </xf>
    <xf numFmtId="0" fontId="78" fillId="0" borderId="69" xfId="0" applyFont="1" applyBorder="1" applyAlignment="1" quotePrefix="1">
      <alignment vertical="center"/>
    </xf>
    <xf numFmtId="0" fontId="78" fillId="35" borderId="69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144" fillId="0" borderId="0" xfId="0" applyFont="1" applyAlignment="1">
      <alignment horizontal="center" vertical="center"/>
    </xf>
    <xf numFmtId="0" fontId="144" fillId="0" borderId="0" xfId="0" applyFont="1" applyAlignment="1">
      <alignment vertical="center"/>
    </xf>
    <xf numFmtId="0" fontId="144" fillId="42" borderId="0" xfId="0" applyFont="1" applyFill="1" applyAlignment="1">
      <alignment horizontal="center" vertical="center"/>
    </xf>
    <xf numFmtId="0" fontId="144" fillId="42" borderId="0" xfId="0" applyFont="1" applyFill="1" applyAlignment="1">
      <alignment vertical="center"/>
    </xf>
    <xf numFmtId="0" fontId="121" fillId="0" borderId="0" xfId="57">
      <alignment/>
      <protection/>
    </xf>
    <xf numFmtId="0" fontId="121" fillId="0" borderId="0" xfId="57" applyAlignment="1">
      <alignment horizontal="right"/>
      <protection/>
    </xf>
    <xf numFmtId="0" fontId="121" fillId="0" borderId="0" xfId="57" applyAlignment="1">
      <alignment horizontal="center"/>
      <protection/>
    </xf>
    <xf numFmtId="0" fontId="25" fillId="36" borderId="59" xfId="57" applyFont="1" applyFill="1" applyBorder="1" applyAlignment="1">
      <alignment vertical="center"/>
      <protection/>
    </xf>
    <xf numFmtId="0" fontId="25" fillId="36" borderId="70" xfId="57" applyFont="1" applyFill="1" applyBorder="1" applyAlignment="1">
      <alignment vertical="center"/>
      <protection/>
    </xf>
    <xf numFmtId="0" fontId="25" fillId="2" borderId="30" xfId="0" applyFont="1" applyFill="1" applyBorder="1" applyAlignment="1">
      <alignment horizontal="center" vertical="center"/>
    </xf>
    <xf numFmtId="0" fontId="145" fillId="43" borderId="69" xfId="0" applyFont="1" applyFill="1" applyBorder="1" applyAlignment="1">
      <alignment horizontal="left" vertical="center"/>
    </xf>
    <xf numFmtId="0" fontId="25" fillId="41" borderId="25" xfId="0" applyFont="1" applyFill="1" applyBorder="1" applyAlignment="1">
      <alignment vertical="center"/>
    </xf>
    <xf numFmtId="0" fontId="25" fillId="35" borderId="71" xfId="0" applyFont="1" applyFill="1" applyBorder="1" applyAlignment="1">
      <alignment vertical="center"/>
    </xf>
    <xf numFmtId="0" fontId="143" fillId="44" borderId="72" xfId="0" applyFont="1" applyFill="1" applyBorder="1" applyAlignment="1">
      <alignment horizontal="center" vertical="center"/>
    </xf>
    <xf numFmtId="0" fontId="143" fillId="44" borderId="28" xfId="0" applyFont="1" applyFill="1" applyBorder="1" applyAlignment="1">
      <alignment vertical="center"/>
    </xf>
    <xf numFmtId="0" fontId="25" fillId="44" borderId="28" xfId="0" applyFont="1" applyFill="1" applyBorder="1" applyAlignment="1">
      <alignment vertical="center"/>
    </xf>
    <xf numFmtId="0" fontId="146" fillId="44" borderId="28" xfId="0" applyFont="1" applyFill="1" applyBorder="1" applyAlignment="1">
      <alignment vertical="center"/>
    </xf>
    <xf numFmtId="0" fontId="25" fillId="44" borderId="0" xfId="0" applyFont="1" applyFill="1" applyBorder="1" applyAlignment="1">
      <alignment vertical="center"/>
    </xf>
    <xf numFmtId="0" fontId="25" fillId="44" borderId="0" xfId="0" applyFont="1" applyFill="1" applyBorder="1" applyAlignment="1">
      <alignment horizontal="right" vertical="center"/>
    </xf>
    <xf numFmtId="0" fontId="146" fillId="44" borderId="0" xfId="0" applyFont="1" applyFill="1" applyBorder="1" applyAlignment="1">
      <alignment vertical="center"/>
    </xf>
    <xf numFmtId="0" fontId="146" fillId="44" borderId="0" xfId="0" applyFont="1" applyFill="1" applyBorder="1" applyAlignment="1">
      <alignment horizontal="right" vertical="center"/>
    </xf>
    <xf numFmtId="0" fontId="25" fillId="44" borderId="25" xfId="0" applyFont="1" applyFill="1" applyBorder="1" applyAlignment="1">
      <alignment vertical="center"/>
    </xf>
    <xf numFmtId="0" fontId="146" fillId="44" borderId="25" xfId="0" applyFont="1" applyFill="1" applyBorder="1" applyAlignment="1">
      <alignment vertical="center"/>
    </xf>
    <xf numFmtId="0" fontId="142" fillId="44" borderId="25" xfId="0" applyFont="1" applyFill="1" applyBorder="1" applyAlignment="1">
      <alignment vertical="center"/>
    </xf>
    <xf numFmtId="0" fontId="25" fillId="44" borderId="73" xfId="0" applyFont="1" applyFill="1" applyBorder="1" applyAlignment="1">
      <alignment vertical="center"/>
    </xf>
    <xf numFmtId="0" fontId="25" fillId="44" borderId="26" xfId="0" applyFont="1" applyFill="1" applyBorder="1" applyAlignment="1">
      <alignment vertical="center"/>
    </xf>
    <xf numFmtId="0" fontId="25" fillId="44" borderId="26" xfId="0" applyFont="1" applyFill="1" applyBorder="1" applyAlignment="1">
      <alignment horizontal="right" vertical="center"/>
    </xf>
    <xf numFmtId="0" fontId="142" fillId="44" borderId="29" xfId="0" applyFont="1" applyFill="1" applyBorder="1" applyAlignment="1">
      <alignment vertical="center"/>
    </xf>
    <xf numFmtId="0" fontId="142" fillId="44" borderId="66" xfId="0" applyFont="1" applyFill="1" applyBorder="1" applyAlignment="1">
      <alignment horizontal="center" vertical="center" wrapText="1"/>
    </xf>
    <xf numFmtId="0" fontId="142" fillId="44" borderId="74" xfId="0" applyFont="1" applyFill="1" applyBorder="1" applyAlignment="1">
      <alignment horizontal="center" vertical="center" wrapText="1"/>
    </xf>
    <xf numFmtId="0" fontId="142" fillId="44" borderId="75" xfId="0" applyFont="1" applyFill="1" applyBorder="1" applyAlignment="1">
      <alignment horizontal="center" vertical="center" wrapText="1"/>
    </xf>
    <xf numFmtId="0" fontId="146" fillId="44" borderId="59" xfId="0" applyFont="1" applyFill="1" applyBorder="1" applyAlignment="1">
      <alignment vertical="center"/>
    </xf>
    <xf numFmtId="0" fontId="142" fillId="44" borderId="63" xfId="0" applyFont="1" applyFill="1" applyBorder="1" applyAlignment="1">
      <alignment horizontal="center" vertical="center"/>
    </xf>
    <xf numFmtId="0" fontId="25" fillId="44" borderId="0" xfId="0" applyFont="1" applyFill="1" applyAlignment="1">
      <alignment vertical="center"/>
    </xf>
    <xf numFmtId="0" fontId="142" fillId="44" borderId="0" xfId="0" applyFont="1" applyFill="1" applyAlignment="1">
      <alignment horizontal="center" vertical="center"/>
    </xf>
    <xf numFmtId="0" fontId="146" fillId="44" borderId="0" xfId="0" applyFont="1" applyFill="1" applyAlignment="1">
      <alignment vertical="center"/>
    </xf>
    <xf numFmtId="0" fontId="142" fillId="44" borderId="0" xfId="0" applyFont="1" applyFill="1" applyAlignment="1">
      <alignment vertical="center"/>
    </xf>
    <xf numFmtId="0" fontId="146" fillId="44" borderId="0" xfId="0" applyFont="1" applyFill="1" applyBorder="1" applyAlignment="1">
      <alignment horizontal="center" vertical="center"/>
    </xf>
    <xf numFmtId="0" fontId="146" fillId="44" borderId="0" xfId="0" applyFont="1" applyFill="1" applyBorder="1" applyAlignment="1" quotePrefix="1">
      <alignment horizontal="left" vertical="center"/>
    </xf>
    <xf numFmtId="0" fontId="147" fillId="44" borderId="0" xfId="0" applyFont="1" applyFill="1" applyAlignment="1">
      <alignment vertical="center"/>
    </xf>
    <xf numFmtId="0" fontId="25" fillId="44" borderId="0" xfId="0" applyFont="1" applyFill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center" vertical="center"/>
    </xf>
    <xf numFmtId="2" fontId="146" fillId="44" borderId="0" xfId="0" applyNumberFormat="1" applyFont="1" applyFill="1" applyAlignment="1">
      <alignment vertical="center"/>
    </xf>
    <xf numFmtId="2" fontId="142" fillId="44" borderId="0" xfId="0" applyNumberFormat="1" applyFont="1" applyFill="1" applyAlignment="1">
      <alignment vertical="center"/>
    </xf>
    <xf numFmtId="2" fontId="147" fillId="44" borderId="0" xfId="0" applyNumberFormat="1" applyFont="1" applyFill="1" applyAlignment="1">
      <alignment vertical="center"/>
    </xf>
    <xf numFmtId="2" fontId="142" fillId="44" borderId="66" xfId="0" applyNumberFormat="1" applyFont="1" applyFill="1" applyBorder="1" applyAlignment="1">
      <alignment horizontal="center" vertical="center" wrapText="1"/>
    </xf>
    <xf numFmtId="2" fontId="142" fillId="44" borderId="74" xfId="0" applyNumberFormat="1" applyFont="1" applyFill="1" applyBorder="1" applyAlignment="1">
      <alignment horizontal="center" vertical="center" wrapText="1"/>
    </xf>
    <xf numFmtId="2" fontId="142" fillId="44" borderId="75" xfId="0" applyNumberFormat="1" applyFont="1" applyFill="1" applyBorder="1" applyAlignment="1">
      <alignment horizontal="center" vertical="center" wrapText="1"/>
    </xf>
    <xf numFmtId="2" fontId="25" fillId="44" borderId="0" xfId="0" applyNumberFormat="1" applyFont="1" applyFill="1" applyAlignment="1">
      <alignment vertical="center"/>
    </xf>
    <xf numFmtId="2" fontId="25" fillId="0" borderId="0" xfId="0" applyNumberFormat="1" applyFont="1" applyFill="1" applyBorder="1" applyAlignment="1">
      <alignment horizontal="center" vertical="center" wrapText="1"/>
    </xf>
    <xf numFmtId="2" fontId="148" fillId="44" borderId="76" xfId="0" applyNumberFormat="1" applyFont="1" applyFill="1" applyBorder="1" applyAlignment="1" quotePrefix="1">
      <alignment horizontal="center" vertical="center" wrapText="1"/>
    </xf>
    <xf numFmtId="2" fontId="148" fillId="44" borderId="77" xfId="0" applyNumberFormat="1" applyFont="1" applyFill="1" applyBorder="1" applyAlignment="1" quotePrefix="1">
      <alignment horizontal="center" vertical="center" wrapText="1"/>
    </xf>
    <xf numFmtId="2" fontId="148" fillId="44" borderId="78" xfId="0" applyNumberFormat="1" applyFont="1" applyFill="1" applyBorder="1" applyAlignment="1" quotePrefix="1">
      <alignment horizontal="center" vertical="center" wrapText="1"/>
    </xf>
    <xf numFmtId="2" fontId="25" fillId="37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Border="1" applyAlignment="1">
      <alignment horizontal="left" vertical="center" wrapText="1"/>
    </xf>
    <xf numFmtId="2" fontId="25" fillId="35" borderId="59" xfId="0" applyNumberFormat="1" applyFont="1" applyFill="1" applyBorder="1" applyAlignment="1">
      <alignment vertical="center"/>
    </xf>
    <xf numFmtId="2" fontId="25" fillId="0" borderId="57" xfId="0" applyNumberFormat="1" applyFont="1" applyBorder="1" applyAlignment="1">
      <alignment horizontal="center" vertical="center"/>
    </xf>
    <xf numFmtId="2" fontId="142" fillId="44" borderId="63" xfId="0" applyNumberFormat="1" applyFont="1" applyFill="1" applyBorder="1" applyAlignment="1">
      <alignment horizontal="center" vertical="center"/>
    </xf>
    <xf numFmtId="2" fontId="142" fillId="44" borderId="58" xfId="0" applyNumberFormat="1" applyFont="1" applyFill="1" applyBorder="1" applyAlignment="1">
      <alignment horizontal="center" vertical="center"/>
    </xf>
    <xf numFmtId="2" fontId="142" fillId="44" borderId="61" xfId="0" applyNumberFormat="1" applyFont="1" applyFill="1" applyBorder="1" applyAlignment="1">
      <alignment horizontal="center" vertical="center"/>
    </xf>
    <xf numFmtId="2" fontId="142" fillId="44" borderId="60" xfId="0" applyNumberFormat="1" applyFont="1" applyFill="1" applyBorder="1" applyAlignment="1">
      <alignment horizontal="center" vertical="center"/>
    </xf>
    <xf numFmtId="2" fontId="25" fillId="44" borderId="0" xfId="0" applyNumberFormat="1" applyFont="1" applyFill="1" applyAlignment="1">
      <alignment horizontal="center" vertical="center"/>
    </xf>
    <xf numFmtId="0" fontId="142" fillId="44" borderId="57" xfId="0" applyFont="1" applyFill="1" applyBorder="1" applyAlignment="1">
      <alignment horizontal="center" vertical="center" wrapText="1"/>
    </xf>
    <xf numFmtId="0" fontId="142" fillId="44" borderId="57" xfId="0" applyFont="1" applyFill="1" applyBorder="1" applyAlignment="1" quotePrefix="1">
      <alignment horizontal="center" vertical="center" wrapText="1"/>
    </xf>
    <xf numFmtId="0" fontId="142" fillId="44" borderId="59" xfId="0" applyFont="1" applyFill="1" applyBorder="1" applyAlignment="1">
      <alignment vertical="center"/>
    </xf>
    <xf numFmtId="0" fontId="146" fillId="44" borderId="57" xfId="0" applyFont="1" applyFill="1" applyBorder="1" applyAlignment="1">
      <alignment horizontal="center" vertical="center"/>
    </xf>
    <xf numFmtId="0" fontId="146" fillId="44" borderId="63" xfId="0" applyFont="1" applyFill="1" applyBorder="1" applyAlignment="1">
      <alignment horizontal="center" vertical="center"/>
    </xf>
    <xf numFmtId="0" fontId="146" fillId="44" borderId="58" xfId="0" applyFont="1" applyFill="1" applyBorder="1" applyAlignment="1">
      <alignment horizontal="center" vertical="center"/>
    </xf>
    <xf numFmtId="0" fontId="146" fillId="44" borderId="61" xfId="0" applyFont="1" applyFill="1" applyBorder="1" applyAlignment="1">
      <alignment horizontal="center" vertical="center"/>
    </xf>
    <xf numFmtId="0" fontId="146" fillId="44" borderId="60" xfId="0" applyFont="1" applyFill="1" applyBorder="1" applyAlignment="1">
      <alignment horizontal="center" vertical="center"/>
    </xf>
    <xf numFmtId="0" fontId="146" fillId="44" borderId="0" xfId="0" applyFont="1" applyFill="1" applyAlignment="1">
      <alignment horizontal="center" vertical="center"/>
    </xf>
    <xf numFmtId="0" fontId="149" fillId="44" borderId="0" xfId="0" applyFont="1" applyFill="1" applyAlignment="1">
      <alignment vertical="center"/>
    </xf>
    <xf numFmtId="0" fontId="150" fillId="44" borderId="0" xfId="0" applyFont="1" applyFill="1" applyBorder="1" applyAlignment="1">
      <alignment horizontal="left" vertical="center"/>
    </xf>
    <xf numFmtId="0" fontId="151" fillId="0" borderId="0" xfId="0" applyFont="1" applyAlignment="1">
      <alignment vertical="center"/>
    </xf>
    <xf numFmtId="0" fontId="152" fillId="0" borderId="0" xfId="0" applyFont="1" applyAlignment="1">
      <alignment vertical="center"/>
    </xf>
    <xf numFmtId="0" fontId="151" fillId="44" borderId="0" xfId="0" applyFont="1" applyFill="1" applyAlignment="1">
      <alignment vertical="center"/>
    </xf>
    <xf numFmtId="2" fontId="146" fillId="44" borderId="64" xfId="0" applyNumberFormat="1" applyFont="1" applyFill="1" applyBorder="1" applyAlignment="1">
      <alignment horizontal="center" vertical="center"/>
    </xf>
    <xf numFmtId="2" fontId="146" fillId="44" borderId="57" xfId="0" applyNumberFormat="1" applyFont="1" applyFill="1" applyBorder="1" applyAlignment="1">
      <alignment horizontal="center" vertical="center"/>
    </xf>
    <xf numFmtId="2" fontId="146" fillId="44" borderId="63" xfId="0" applyNumberFormat="1" applyFont="1" applyFill="1" applyBorder="1" applyAlignment="1">
      <alignment horizontal="center" vertical="center"/>
    </xf>
    <xf numFmtId="2" fontId="146" fillId="44" borderId="62" xfId="0" applyNumberFormat="1" applyFont="1" applyFill="1" applyBorder="1" applyAlignment="1">
      <alignment horizontal="center" vertical="center"/>
    </xf>
    <xf numFmtId="2" fontId="146" fillId="44" borderId="61" xfId="0" applyNumberFormat="1" applyFont="1" applyFill="1" applyBorder="1" applyAlignment="1">
      <alignment horizontal="center" vertical="center"/>
    </xf>
    <xf numFmtId="0" fontId="25" fillId="2" borderId="79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0" borderId="80" xfId="0" applyFont="1" applyBorder="1" applyAlignment="1">
      <alignment vertical="center"/>
    </xf>
    <xf numFmtId="0" fontId="25" fillId="2" borderId="39" xfId="0" applyFont="1" applyFill="1" applyBorder="1" applyAlignment="1">
      <alignment horizontal="center" vertical="center"/>
    </xf>
    <xf numFmtId="0" fontId="153" fillId="0" borderId="79" xfId="0" applyFont="1" applyBorder="1" applyAlignment="1">
      <alignment horizontal="center" vertical="center"/>
    </xf>
    <xf numFmtId="0" fontId="153" fillId="0" borderId="29" xfId="0" applyFont="1" applyBorder="1" applyAlignment="1">
      <alignment horizontal="center" vertical="center"/>
    </xf>
    <xf numFmtId="0" fontId="153" fillId="0" borderId="80" xfId="0" applyFont="1" applyBorder="1" applyAlignment="1">
      <alignment vertical="center"/>
    </xf>
    <xf numFmtId="0" fontId="151" fillId="44" borderId="0" xfId="0" applyFont="1" applyFill="1" applyAlignment="1">
      <alignment horizontal="center" vertical="center"/>
    </xf>
    <xf numFmtId="0" fontId="154" fillId="44" borderId="0" xfId="0" applyFont="1" applyFill="1" applyAlignment="1">
      <alignment vertical="center"/>
    </xf>
    <xf numFmtId="1" fontId="155" fillId="44" borderId="0" xfId="0" applyNumberFormat="1" applyFont="1" applyFill="1" applyAlignment="1">
      <alignment horizontal="center" vertical="center"/>
    </xf>
    <xf numFmtId="2" fontId="155" fillId="44" borderId="0" xfId="0" applyNumberFormat="1" applyFont="1" applyFill="1" applyAlignment="1">
      <alignment vertical="center" wrapText="1"/>
    </xf>
    <xf numFmtId="2" fontId="156" fillId="44" borderId="0" xfId="0" applyNumberFormat="1" applyFont="1" applyFill="1" applyAlignment="1">
      <alignment vertical="center"/>
    </xf>
    <xf numFmtId="2" fontId="155" fillId="44" borderId="0" xfId="0" applyNumberFormat="1" applyFont="1" applyFill="1" applyAlignment="1">
      <alignment horizontal="center" vertical="center"/>
    </xf>
    <xf numFmtId="2" fontId="153" fillId="44" borderId="60" xfId="0" applyNumberFormat="1" applyFont="1" applyFill="1" applyBorder="1" applyAlignment="1">
      <alignment horizontal="center" vertical="center"/>
    </xf>
    <xf numFmtId="2" fontId="153" fillId="44" borderId="61" xfId="0" applyNumberFormat="1" applyFont="1" applyFill="1" applyBorder="1" applyAlignment="1">
      <alignment horizontal="center" vertical="center"/>
    </xf>
    <xf numFmtId="0" fontId="157" fillId="44" borderId="0" xfId="0" applyFont="1" applyFill="1" applyAlignment="1">
      <alignment horizontal="center" vertical="center"/>
    </xf>
    <xf numFmtId="0" fontId="155" fillId="44" borderId="0" xfId="0" applyFont="1" applyFill="1" applyAlignment="1">
      <alignment vertical="center"/>
    </xf>
    <xf numFmtId="0" fontId="157" fillId="44" borderId="0" xfId="0" applyFont="1" applyFill="1" applyAlignment="1">
      <alignment vertical="center"/>
    </xf>
    <xf numFmtId="0" fontId="155" fillId="44" borderId="0" xfId="0" applyFont="1" applyFill="1" applyAlignment="1">
      <alignment horizontal="center" vertical="center"/>
    </xf>
    <xf numFmtId="0" fontId="153" fillId="0" borderId="0" xfId="0" applyFont="1" applyBorder="1" applyAlignment="1">
      <alignment vertical="center"/>
    </xf>
    <xf numFmtId="0" fontId="25" fillId="44" borderId="0" xfId="0" applyFont="1" applyFill="1" applyBorder="1" applyAlignment="1">
      <alignment horizontal="center" vertical="center" wrapText="1"/>
    </xf>
    <xf numFmtId="0" fontId="142" fillId="44" borderId="81" xfId="0" applyFont="1" applyFill="1" applyBorder="1" applyAlignment="1">
      <alignment horizontal="center" vertical="center"/>
    </xf>
    <xf numFmtId="0" fontId="146" fillId="44" borderId="0" xfId="0" applyFont="1" applyFill="1" applyBorder="1" applyAlignment="1">
      <alignment horizontal="center" vertical="center" wrapText="1"/>
    </xf>
    <xf numFmtId="0" fontId="146" fillId="44" borderId="82" xfId="0" applyFont="1" applyFill="1" applyBorder="1" applyAlignment="1">
      <alignment horizontal="center" vertical="center"/>
    </xf>
    <xf numFmtId="0" fontId="147" fillId="44" borderId="0" xfId="0" applyFont="1" applyFill="1" applyBorder="1" applyAlignment="1">
      <alignment vertical="center"/>
    </xf>
    <xf numFmtId="0" fontId="153" fillId="0" borderId="30" xfId="0" applyFont="1" applyBorder="1" applyAlignment="1">
      <alignment horizontal="center" vertical="center"/>
    </xf>
    <xf numFmtId="0" fontId="147" fillId="44" borderId="83" xfId="0" applyFont="1" applyFill="1" applyBorder="1" applyAlignment="1">
      <alignment horizontal="center" vertical="center"/>
    </xf>
    <xf numFmtId="0" fontId="142" fillId="44" borderId="84" xfId="0" applyFont="1" applyFill="1" applyBorder="1" applyAlignment="1">
      <alignment vertical="center"/>
    </xf>
    <xf numFmtId="0" fontId="142" fillId="44" borderId="85" xfId="0" applyFont="1" applyFill="1" applyBorder="1" applyAlignment="1">
      <alignment horizontal="center" vertical="center"/>
    </xf>
    <xf numFmtId="0" fontId="146" fillId="44" borderId="80" xfId="0" applyFont="1" applyFill="1" applyBorder="1" applyAlignment="1">
      <alignment vertical="center"/>
    </xf>
    <xf numFmtId="0" fontId="142" fillId="44" borderId="86" xfId="0" applyFont="1" applyFill="1" applyBorder="1" applyAlignment="1">
      <alignment horizontal="center" vertical="center"/>
    </xf>
    <xf numFmtId="0" fontId="142" fillId="44" borderId="87" xfId="0" applyFont="1" applyFill="1" applyBorder="1" applyAlignment="1">
      <alignment horizontal="center" vertical="center"/>
    </xf>
    <xf numFmtId="0" fontId="147" fillId="44" borderId="88" xfId="0" applyFont="1" applyFill="1" applyBorder="1" applyAlignment="1">
      <alignment horizontal="center" vertical="center"/>
    </xf>
    <xf numFmtId="0" fontId="146" fillId="44" borderId="38" xfId="0" applyFont="1" applyFill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79" xfId="0" applyFont="1" applyBorder="1" applyAlignment="1">
      <alignment horizontal="right" vertical="center"/>
    </xf>
    <xf numFmtId="0" fontId="12" fillId="35" borderId="48" xfId="0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right" vertical="center"/>
    </xf>
    <xf numFmtId="0" fontId="12" fillId="35" borderId="47" xfId="0" applyFont="1" applyFill="1" applyBorder="1" applyAlignment="1">
      <alignment horizontal="right" vertical="center"/>
    </xf>
    <xf numFmtId="2" fontId="0" fillId="0" borderId="0" xfId="0" applyNumberFormat="1" applyBorder="1" applyAlignment="1">
      <alignment/>
    </xf>
    <xf numFmtId="2" fontId="10" fillId="33" borderId="14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2" fontId="12" fillId="35" borderId="51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5" fillId="35" borderId="14" xfId="0" applyNumberFormat="1" applyFont="1" applyFill="1" applyBorder="1" applyAlignment="1">
      <alignment horizontal="center" vertical="center"/>
    </xf>
    <xf numFmtId="2" fontId="5" fillId="35" borderId="51" xfId="0" applyNumberFormat="1" applyFont="1" applyFill="1" applyBorder="1" applyAlignment="1">
      <alignment horizontal="center" vertical="center"/>
    </xf>
    <xf numFmtId="2" fontId="5" fillId="35" borderId="19" xfId="0" applyNumberFormat="1" applyFont="1" applyFill="1" applyBorder="1" applyAlignment="1">
      <alignment horizontal="center" vertical="center"/>
    </xf>
    <xf numFmtId="0" fontId="147" fillId="44" borderId="29" xfId="0" applyFont="1" applyFill="1" applyBorder="1" applyAlignment="1">
      <alignment horizontal="right" vertical="center"/>
    </xf>
    <xf numFmtId="0" fontId="147" fillId="44" borderId="27" xfId="0" applyFont="1" applyFill="1" applyBorder="1" applyAlignment="1">
      <alignment vertical="center"/>
    </xf>
    <xf numFmtId="0" fontId="155" fillId="44" borderId="0" xfId="0" applyFont="1" applyFill="1" applyAlignment="1">
      <alignment horizontal="left" vertical="center"/>
    </xf>
    <xf numFmtId="0" fontId="155" fillId="44" borderId="0" xfId="0" applyFont="1" applyFill="1" applyAlignment="1">
      <alignment vertical="center" wrapText="1"/>
    </xf>
    <xf numFmtId="0" fontId="158" fillId="44" borderId="66" xfId="0" applyFont="1" applyFill="1" applyBorder="1" applyAlignment="1">
      <alignment horizontal="center" vertical="center"/>
    </xf>
    <xf numFmtId="0" fontId="158" fillId="44" borderId="74" xfId="0" applyFont="1" applyFill="1" applyBorder="1" applyAlignment="1">
      <alignment horizontal="center" vertical="center" wrapText="1"/>
    </xf>
    <xf numFmtId="0" fontId="142" fillId="44" borderId="70" xfId="0" applyFont="1" applyFill="1" applyBorder="1" applyAlignment="1">
      <alignment vertical="center"/>
    </xf>
    <xf numFmtId="0" fontId="146" fillId="44" borderId="89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159" fillId="35" borderId="57" xfId="0" applyFont="1" applyFill="1" applyBorder="1" applyAlignment="1">
      <alignment horizontal="center" vertical="center"/>
    </xf>
    <xf numFmtId="0" fontId="160" fillId="44" borderId="92" xfId="0" applyFont="1" applyFill="1" applyBorder="1" applyAlignment="1">
      <alignment horizontal="center" vertical="center" wrapText="1"/>
    </xf>
    <xf numFmtId="0" fontId="159" fillId="35" borderId="89" xfId="0" applyFont="1" applyFill="1" applyBorder="1" applyAlignment="1">
      <alignment horizontal="center" vertical="center"/>
    </xf>
    <xf numFmtId="0" fontId="160" fillId="44" borderId="93" xfId="0" applyFont="1" applyFill="1" applyBorder="1" applyAlignment="1">
      <alignment horizontal="center" vertical="center" wrapText="1"/>
    </xf>
    <xf numFmtId="0" fontId="160" fillId="44" borderId="94" xfId="0" applyFont="1" applyFill="1" applyBorder="1" applyAlignment="1">
      <alignment horizontal="center" vertical="center" wrapText="1"/>
    </xf>
    <xf numFmtId="0" fontId="153" fillId="2" borderId="79" xfId="0" applyFont="1" applyFill="1" applyBorder="1" applyAlignment="1">
      <alignment horizontal="center" vertical="center"/>
    </xf>
    <xf numFmtId="0" fontId="153" fillId="44" borderId="95" xfId="0" applyFont="1" applyFill="1" applyBorder="1" applyAlignment="1">
      <alignment horizontal="center" vertical="center" wrapText="1"/>
    </xf>
    <xf numFmtId="0" fontId="142" fillId="44" borderId="39" xfId="0" applyFont="1" applyFill="1" applyBorder="1" applyAlignment="1">
      <alignment horizontal="center" vertical="center"/>
    </xf>
    <xf numFmtId="0" fontId="146" fillId="44" borderId="28" xfId="0" applyFont="1" applyFill="1" applyBorder="1" applyAlignment="1" quotePrefix="1">
      <alignment horizontal="center" vertical="center"/>
    </xf>
    <xf numFmtId="0" fontId="146" fillId="44" borderId="86" xfId="0" applyFont="1" applyFill="1" applyBorder="1" applyAlignment="1" quotePrefix="1">
      <alignment horizontal="center" vertical="center"/>
    </xf>
    <xf numFmtId="0" fontId="151" fillId="35" borderId="0" xfId="0" applyFont="1" applyFill="1" applyBorder="1" applyAlignment="1">
      <alignment horizontal="right" vertical="center"/>
    </xf>
    <xf numFmtId="0" fontId="25" fillId="2" borderId="38" xfId="0" applyFont="1" applyFill="1" applyBorder="1" applyAlignment="1">
      <alignment horizontal="center" vertical="center"/>
    </xf>
    <xf numFmtId="0" fontId="161" fillId="44" borderId="75" xfId="0" applyFont="1" applyFill="1" applyBorder="1" applyAlignment="1">
      <alignment horizontal="center" vertical="center"/>
    </xf>
    <xf numFmtId="0" fontId="162" fillId="44" borderId="63" xfId="0" applyFont="1" applyFill="1" applyBorder="1" applyAlignment="1">
      <alignment horizontal="center" vertical="center"/>
    </xf>
    <xf numFmtId="0" fontId="162" fillId="44" borderId="82" xfId="0" applyFont="1" applyFill="1" applyBorder="1" applyAlignment="1">
      <alignment horizontal="center" vertical="center"/>
    </xf>
    <xf numFmtId="0" fontId="161" fillId="44" borderId="60" xfId="0" applyFont="1" applyFill="1" applyBorder="1" applyAlignment="1">
      <alignment horizontal="center" vertical="center"/>
    </xf>
    <xf numFmtId="2" fontId="5" fillId="35" borderId="1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163" fillId="44" borderId="0" xfId="0" applyFont="1" applyFill="1" applyAlignment="1">
      <alignment vertical="center"/>
    </xf>
    <xf numFmtId="0" fontId="143" fillId="44" borderId="96" xfId="0" applyFont="1" applyFill="1" applyBorder="1" applyAlignment="1" quotePrefix="1">
      <alignment horizontal="right" vertical="center"/>
    </xf>
    <xf numFmtId="0" fontId="142" fillId="44" borderId="57" xfId="0" applyFont="1" applyFill="1" applyBorder="1" applyAlignment="1">
      <alignment horizontal="center" vertical="center"/>
    </xf>
    <xf numFmtId="0" fontId="146" fillId="44" borderId="57" xfId="0" applyFont="1" applyFill="1" applyBorder="1" applyAlignment="1">
      <alignment vertical="center"/>
    </xf>
    <xf numFmtId="0" fontId="146" fillId="44" borderId="63" xfId="0" applyFont="1" applyFill="1" applyBorder="1" applyAlignment="1">
      <alignment vertical="center"/>
    </xf>
    <xf numFmtId="0" fontId="142" fillId="44" borderId="66" xfId="0" applyFont="1" applyFill="1" applyBorder="1" applyAlignment="1">
      <alignment horizontal="center" vertical="center"/>
    </xf>
    <xf numFmtId="0" fontId="147" fillId="44" borderId="74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141" fillId="35" borderId="97" xfId="0" applyFont="1" applyFill="1" applyBorder="1" applyAlignment="1" quotePrefix="1">
      <alignment horizontal="center" vertical="center"/>
    </xf>
    <xf numFmtId="0" fontId="162" fillId="44" borderId="0" xfId="0" applyFont="1" applyFill="1" applyBorder="1" applyAlignment="1">
      <alignment horizontal="center" vertical="center"/>
    </xf>
    <xf numFmtId="0" fontId="164" fillId="44" borderId="0" xfId="0" applyFont="1" applyFill="1" applyBorder="1" applyAlignment="1" quotePrefix="1">
      <alignment horizontal="center" vertical="center"/>
    </xf>
    <xf numFmtId="0" fontId="4" fillId="35" borderId="67" xfId="0" applyFont="1" applyFill="1" applyBorder="1" applyAlignment="1">
      <alignment horizontal="center" vertical="center"/>
    </xf>
    <xf numFmtId="0" fontId="146" fillId="44" borderId="67" xfId="0" applyFont="1" applyFill="1" applyBorder="1" applyAlignment="1">
      <alignment horizontal="center" vertical="center"/>
    </xf>
    <xf numFmtId="0" fontId="142" fillId="44" borderId="67" xfId="0" applyFont="1" applyFill="1" applyBorder="1" applyAlignment="1">
      <alignment horizontal="center" vertical="center"/>
    </xf>
    <xf numFmtId="0" fontId="143" fillId="44" borderId="98" xfId="0" applyFont="1" applyFill="1" applyBorder="1" applyAlignment="1">
      <alignment vertical="center"/>
    </xf>
    <xf numFmtId="0" fontId="162" fillId="44" borderId="99" xfId="0" applyFont="1" applyFill="1" applyBorder="1" applyAlignment="1">
      <alignment horizontal="center" vertical="center"/>
    </xf>
    <xf numFmtId="0" fontId="162" fillId="44" borderId="100" xfId="0" applyFont="1" applyFill="1" applyBorder="1" applyAlignment="1">
      <alignment horizontal="center" vertical="center"/>
    </xf>
    <xf numFmtId="0" fontId="142" fillId="44" borderId="101" xfId="0" applyFont="1" applyFill="1" applyBorder="1" applyAlignment="1">
      <alignment vertical="center"/>
    </xf>
    <xf numFmtId="0" fontId="146" fillId="44" borderId="71" xfId="0" applyFont="1" applyFill="1" applyBorder="1" applyAlignment="1">
      <alignment vertical="center"/>
    </xf>
    <xf numFmtId="0" fontId="146" fillId="44" borderId="101" xfId="0" applyFont="1" applyFill="1" applyBorder="1" applyAlignment="1">
      <alignment vertical="center"/>
    </xf>
    <xf numFmtId="0" fontId="146" fillId="44" borderId="71" xfId="0" applyFont="1" applyFill="1" applyBorder="1" applyAlignment="1">
      <alignment horizontal="center" vertical="center"/>
    </xf>
    <xf numFmtId="0" fontId="146" fillId="44" borderId="102" xfId="0" applyFont="1" applyFill="1" applyBorder="1" applyAlignment="1">
      <alignment horizontal="right" vertical="center"/>
    </xf>
    <xf numFmtId="0" fontId="146" fillId="44" borderId="103" xfId="0" applyFont="1" applyFill="1" applyBorder="1" applyAlignment="1">
      <alignment horizontal="center" vertical="center"/>
    </xf>
    <xf numFmtId="2" fontId="146" fillId="44" borderId="71" xfId="0" applyNumberFormat="1" applyFont="1" applyFill="1" applyBorder="1" applyAlignment="1">
      <alignment horizontal="center" vertical="center"/>
    </xf>
    <xf numFmtId="2" fontId="146" fillId="44" borderId="104" xfId="0" applyNumberFormat="1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vertical="center"/>
    </xf>
    <xf numFmtId="0" fontId="41" fillId="44" borderId="0" xfId="0" applyFont="1" applyFill="1" applyBorder="1" applyAlignment="1">
      <alignment vertical="center"/>
    </xf>
    <xf numFmtId="0" fontId="41" fillId="44" borderId="0" xfId="0" applyFont="1" applyFill="1" applyAlignment="1">
      <alignment vertical="center"/>
    </xf>
    <xf numFmtId="2" fontId="41" fillId="0" borderId="0" xfId="0" applyNumberFormat="1" applyFont="1" applyAlignment="1">
      <alignment vertical="center"/>
    </xf>
    <xf numFmtId="2" fontId="163" fillId="44" borderId="0" xfId="0" applyNumberFormat="1" applyFont="1" applyFill="1" applyAlignment="1">
      <alignment vertical="center"/>
    </xf>
    <xf numFmtId="2" fontId="41" fillId="44" borderId="0" xfId="0" applyNumberFormat="1" applyFont="1" applyFill="1" applyAlignment="1">
      <alignment vertical="center"/>
    </xf>
    <xf numFmtId="0" fontId="165" fillId="44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2" fontId="146" fillId="44" borderId="0" xfId="0" applyNumberFormat="1" applyFont="1" applyFill="1" applyBorder="1" applyAlignment="1">
      <alignment horizontal="center" vertical="center"/>
    </xf>
    <xf numFmtId="0" fontId="143" fillId="45" borderId="98" xfId="0" applyFont="1" applyFill="1" applyBorder="1" applyAlignment="1">
      <alignment vertical="center"/>
    </xf>
    <xf numFmtId="0" fontId="162" fillId="45" borderId="99" xfId="0" applyFont="1" applyFill="1" applyBorder="1" applyAlignment="1">
      <alignment horizontal="center" vertical="center"/>
    </xf>
    <xf numFmtId="0" fontId="162" fillId="45" borderId="100" xfId="0" applyFont="1" applyFill="1" applyBorder="1" applyAlignment="1">
      <alignment horizontal="center" vertical="center"/>
    </xf>
    <xf numFmtId="0" fontId="146" fillId="45" borderId="101" xfId="0" applyFont="1" applyFill="1" applyBorder="1" applyAlignment="1">
      <alignment vertical="center"/>
    </xf>
    <xf numFmtId="2" fontId="146" fillId="45" borderId="71" xfId="0" applyNumberFormat="1" applyFont="1" applyFill="1" applyBorder="1" applyAlignment="1">
      <alignment horizontal="center" vertical="center"/>
    </xf>
    <xf numFmtId="0" fontId="146" fillId="45" borderId="102" xfId="0" applyFont="1" applyFill="1" applyBorder="1" applyAlignment="1">
      <alignment horizontal="right" vertical="center"/>
    </xf>
    <xf numFmtId="0" fontId="146" fillId="45" borderId="103" xfId="0" applyFont="1" applyFill="1" applyBorder="1" applyAlignment="1">
      <alignment horizontal="center" vertical="center"/>
    </xf>
    <xf numFmtId="2" fontId="146" fillId="45" borderId="104" xfId="0" applyNumberFormat="1" applyFont="1" applyFill="1" applyBorder="1" applyAlignment="1">
      <alignment horizontal="center" vertical="center"/>
    </xf>
    <xf numFmtId="0" fontId="142" fillId="44" borderId="102" xfId="0" applyFont="1" applyFill="1" applyBorder="1" applyAlignment="1">
      <alignment horizontal="center" vertical="center"/>
    </xf>
    <xf numFmtId="0" fontId="25" fillId="44" borderId="105" xfId="0" applyFont="1" applyFill="1" applyBorder="1" applyAlignment="1">
      <alignment horizontal="center" vertical="center"/>
    </xf>
    <xf numFmtId="0" fontId="161" fillId="44" borderId="104" xfId="0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center" vertical="center"/>
    </xf>
    <xf numFmtId="0" fontId="141" fillId="35" borderId="106" xfId="0" applyFont="1" applyFill="1" applyBorder="1" applyAlignment="1" quotePrefix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4" fillId="44" borderId="90" xfId="0" applyFont="1" applyFill="1" applyBorder="1" applyAlignment="1">
      <alignment horizontal="center" vertical="center"/>
    </xf>
    <xf numFmtId="0" fontId="160" fillId="44" borderId="0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53" fillId="44" borderId="0" xfId="0" applyFont="1" applyFill="1" applyBorder="1" applyAlignment="1">
      <alignment horizontal="center" vertical="center" wrapText="1"/>
    </xf>
    <xf numFmtId="0" fontId="141" fillId="35" borderId="107" xfId="0" applyFont="1" applyFill="1" applyBorder="1" applyAlignment="1" quotePrefix="1">
      <alignment horizontal="center" vertical="center"/>
    </xf>
    <xf numFmtId="0" fontId="25" fillId="0" borderId="107" xfId="0" applyFont="1" applyBorder="1" applyAlignment="1">
      <alignment vertical="center"/>
    </xf>
    <xf numFmtId="0" fontId="160" fillId="44" borderId="79" xfId="0" applyFont="1" applyFill="1" applyBorder="1" applyAlignment="1">
      <alignment horizontal="center" vertical="center" wrapText="1"/>
    </xf>
    <xf numFmtId="2" fontId="146" fillId="44" borderId="30" xfId="0" applyNumberFormat="1" applyFont="1" applyFill="1" applyBorder="1" applyAlignment="1">
      <alignment horizontal="center" vertical="center"/>
    </xf>
    <xf numFmtId="0" fontId="25" fillId="45" borderId="0" xfId="0" applyFont="1" applyFill="1" applyAlignment="1">
      <alignment vertical="center"/>
    </xf>
    <xf numFmtId="0" fontId="162" fillId="45" borderId="58" xfId="0" applyFont="1" applyFill="1" applyBorder="1" applyAlignment="1">
      <alignment horizontal="center" vertical="center"/>
    </xf>
    <xf numFmtId="0" fontId="162" fillId="45" borderId="61" xfId="0" applyFont="1" applyFill="1" applyBorder="1" applyAlignment="1">
      <alignment horizontal="center" vertical="center"/>
    </xf>
    <xf numFmtId="0" fontId="162" fillId="45" borderId="60" xfId="0" applyFont="1" applyFill="1" applyBorder="1" applyAlignment="1">
      <alignment horizontal="center" vertical="center"/>
    </xf>
    <xf numFmtId="0" fontId="29" fillId="44" borderId="0" xfId="0" applyFont="1" applyFill="1" applyAlignment="1">
      <alignment horizontal="center" vertical="center"/>
    </xf>
    <xf numFmtId="0" fontId="162" fillId="44" borderId="58" xfId="0" applyFont="1" applyFill="1" applyBorder="1" applyAlignment="1">
      <alignment horizontal="center" vertical="center"/>
    </xf>
    <xf numFmtId="0" fontId="162" fillId="44" borderId="61" xfId="0" applyFont="1" applyFill="1" applyBorder="1" applyAlignment="1">
      <alignment horizontal="center" vertical="center"/>
    </xf>
    <xf numFmtId="0" fontId="162" fillId="44" borderId="60" xfId="0" applyFont="1" applyFill="1" applyBorder="1" applyAlignment="1">
      <alignment horizontal="center" vertical="center"/>
    </xf>
    <xf numFmtId="0" fontId="154" fillId="44" borderId="0" xfId="0" applyFont="1" applyFill="1" applyAlignment="1">
      <alignment horizontal="center" vertical="center"/>
    </xf>
    <xf numFmtId="0" fontId="97" fillId="0" borderId="0" xfId="0" applyFont="1" applyAlignment="1">
      <alignment vertical="center"/>
    </xf>
    <xf numFmtId="0" fontId="156" fillId="44" borderId="0" xfId="0" applyFont="1" applyFill="1" applyAlignment="1">
      <alignment horizontal="center" vertical="center"/>
    </xf>
    <xf numFmtId="0" fontId="156" fillId="44" borderId="0" xfId="0" applyFont="1" applyFill="1" applyAlignment="1">
      <alignment vertical="center"/>
    </xf>
    <xf numFmtId="0" fontId="155" fillId="44" borderId="0" xfId="0" applyFont="1" applyFill="1" applyBorder="1" applyAlignment="1">
      <alignment horizontal="center" vertical="center"/>
    </xf>
    <xf numFmtId="0" fontId="155" fillId="44" borderId="0" xfId="0" applyFont="1" applyFill="1" applyBorder="1" applyAlignment="1">
      <alignment horizontal="left" vertical="center"/>
    </xf>
    <xf numFmtId="0" fontId="155" fillId="44" borderId="0" xfId="0" applyFont="1" applyFill="1" applyBorder="1" applyAlignment="1">
      <alignment vertical="center"/>
    </xf>
    <xf numFmtId="0" fontId="155" fillId="44" borderId="0" xfId="0" applyFont="1" applyFill="1" applyBorder="1" applyAlignment="1">
      <alignment horizontal="right" vertical="center"/>
    </xf>
    <xf numFmtId="0" fontId="98" fillId="0" borderId="0" xfId="0" applyFont="1" applyBorder="1" applyAlignment="1">
      <alignment vertical="center"/>
    </xf>
    <xf numFmtId="0" fontId="162" fillId="44" borderId="59" xfId="0" applyFont="1" applyFill="1" applyBorder="1" applyAlignment="1">
      <alignment vertical="center"/>
    </xf>
    <xf numFmtId="0" fontId="142" fillId="44" borderId="0" xfId="0" applyFont="1" applyFill="1" applyBorder="1" applyAlignment="1">
      <alignment horizontal="center" vertical="center" wrapText="1"/>
    </xf>
    <xf numFmtId="0" fontId="166" fillId="44" borderId="0" xfId="0" applyFont="1" applyFill="1" applyBorder="1" applyAlignment="1">
      <alignment vertical="center"/>
    </xf>
    <xf numFmtId="0" fontId="166" fillId="44" borderId="0" xfId="0" applyFont="1" applyFill="1" applyBorder="1" applyAlignment="1">
      <alignment horizontal="center" vertical="center"/>
    </xf>
    <xf numFmtId="0" fontId="167" fillId="44" borderId="0" xfId="0" applyFont="1" applyFill="1" applyBorder="1" applyAlignment="1" quotePrefix="1">
      <alignment horizontal="center" vertical="center"/>
    </xf>
    <xf numFmtId="0" fontId="164" fillId="44" borderId="25" xfId="0" applyFont="1" applyFill="1" applyBorder="1" applyAlignment="1" quotePrefix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53" fillId="2" borderId="0" xfId="0" applyFont="1" applyFill="1" applyBorder="1" applyAlignment="1">
      <alignment horizontal="center" vertical="center"/>
    </xf>
    <xf numFmtId="0" fontId="168" fillId="42" borderId="0" xfId="0" applyFont="1" applyFill="1" applyBorder="1" applyAlignment="1">
      <alignment vertical="center"/>
    </xf>
    <xf numFmtId="0" fontId="153" fillId="0" borderId="27" xfId="0" applyFont="1" applyBorder="1" applyAlignment="1">
      <alignment vertical="center"/>
    </xf>
    <xf numFmtId="0" fontId="153" fillId="2" borderId="29" xfId="0" applyFont="1" applyFill="1" applyBorder="1" applyAlignment="1">
      <alignment horizontal="center" vertical="center"/>
    </xf>
    <xf numFmtId="0" fontId="161" fillId="44" borderId="100" xfId="0" applyFont="1" applyFill="1" applyBorder="1" applyAlignment="1">
      <alignment horizontal="center" vertical="center"/>
    </xf>
    <xf numFmtId="0" fontId="162" fillId="44" borderId="59" xfId="0" applyFont="1" applyFill="1" applyBorder="1" applyAlignment="1">
      <alignment horizontal="right" vertical="center"/>
    </xf>
    <xf numFmtId="0" fontId="147" fillId="44" borderId="63" xfId="0" applyFont="1" applyFill="1" applyBorder="1" applyAlignment="1">
      <alignment horizontal="center" vertical="center"/>
    </xf>
    <xf numFmtId="0" fontId="169" fillId="44" borderId="29" xfId="0" applyFont="1" applyFill="1" applyBorder="1" applyAlignment="1">
      <alignment horizontal="center" vertical="center" wrapText="1"/>
    </xf>
    <xf numFmtId="0" fontId="167" fillId="44" borderId="0" xfId="0" applyFont="1" applyFill="1" applyBorder="1" applyAlignment="1">
      <alignment horizontal="center" vertical="center"/>
    </xf>
    <xf numFmtId="0" fontId="146" fillId="44" borderId="70" xfId="0" applyFont="1" applyFill="1" applyBorder="1" applyAlignment="1">
      <alignment vertical="center"/>
    </xf>
    <xf numFmtId="0" fontId="146" fillId="44" borderId="58" xfId="0" applyFont="1" applyFill="1" applyBorder="1" applyAlignment="1">
      <alignment vertical="center"/>
    </xf>
    <xf numFmtId="0" fontId="162" fillId="44" borderId="58" xfId="0" applyFont="1" applyFill="1" applyBorder="1" applyAlignment="1">
      <alignment horizontal="right" vertical="center"/>
    </xf>
    <xf numFmtId="0" fontId="143" fillId="44" borderId="0" xfId="0" applyFont="1" applyFill="1" applyAlignment="1">
      <alignment vertical="center"/>
    </xf>
    <xf numFmtId="0" fontId="146" fillId="44" borderId="81" xfId="0" applyFont="1" applyFill="1" applyBorder="1" applyAlignment="1">
      <alignment horizontal="center" vertical="center"/>
    </xf>
    <xf numFmtId="0" fontId="146" fillId="44" borderId="108" xfId="0" applyFont="1" applyFill="1" applyBorder="1" applyAlignment="1">
      <alignment horizontal="center" vertical="center" wrapText="1"/>
    </xf>
    <xf numFmtId="0" fontId="25" fillId="35" borderId="67" xfId="0" applyFont="1" applyFill="1" applyBorder="1" applyAlignment="1">
      <alignment horizontal="center" vertical="center"/>
    </xf>
    <xf numFmtId="0" fontId="146" fillId="44" borderId="98" xfId="0" applyFont="1" applyFill="1" applyBorder="1" applyAlignment="1">
      <alignment vertical="center"/>
    </xf>
    <xf numFmtId="0" fontId="25" fillId="0" borderId="79" xfId="0" applyFont="1" applyBorder="1" applyAlignment="1">
      <alignment vertical="center"/>
    </xf>
    <xf numFmtId="0" fontId="146" fillId="44" borderId="109" xfId="0" applyFont="1" applyFill="1" applyBorder="1" applyAlignment="1">
      <alignment horizontal="center" vertical="center"/>
    </xf>
    <xf numFmtId="0" fontId="146" fillId="44" borderId="110" xfId="0" applyFont="1" applyFill="1" applyBorder="1" applyAlignment="1">
      <alignment horizontal="center" vertical="center"/>
    </xf>
    <xf numFmtId="0" fontId="170" fillId="44" borderId="0" xfId="0" applyFont="1" applyFill="1" applyAlignment="1">
      <alignment vertical="center"/>
    </xf>
    <xf numFmtId="0" fontId="168" fillId="44" borderId="103" xfId="0" applyFont="1" applyFill="1" applyBorder="1" applyAlignment="1">
      <alignment horizontal="center" vertical="center"/>
    </xf>
    <xf numFmtId="0" fontId="162" fillId="44" borderId="102" xfId="0" applyFont="1" applyFill="1" applyBorder="1" applyAlignment="1">
      <alignment horizontal="right" vertical="center"/>
    </xf>
    <xf numFmtId="0" fontId="25" fillId="35" borderId="111" xfId="0" applyFont="1" applyFill="1" applyBorder="1" applyAlignment="1">
      <alignment horizontal="center" vertical="center"/>
    </xf>
    <xf numFmtId="0" fontId="25" fillId="35" borderId="109" xfId="0" applyFont="1" applyFill="1" applyBorder="1" applyAlignment="1">
      <alignment horizontal="center" vertical="center"/>
    </xf>
    <xf numFmtId="0" fontId="146" fillId="44" borderId="101" xfId="0" applyFont="1" applyFill="1" applyBorder="1" applyAlignment="1">
      <alignment horizontal="center" vertical="center"/>
    </xf>
    <xf numFmtId="0" fontId="168" fillId="44" borderId="102" xfId="0" applyFont="1" applyFill="1" applyBorder="1" applyAlignment="1">
      <alignment horizontal="center" vertical="center"/>
    </xf>
    <xf numFmtId="0" fontId="168" fillId="44" borderId="104" xfId="0" applyFont="1" applyFill="1" applyBorder="1" applyAlignment="1">
      <alignment horizontal="center" vertical="center"/>
    </xf>
    <xf numFmtId="0" fontId="146" fillId="44" borderId="112" xfId="0" applyFont="1" applyFill="1" applyBorder="1" applyAlignment="1">
      <alignment horizontal="center" vertical="center"/>
    </xf>
    <xf numFmtId="0" fontId="146" fillId="44" borderId="113" xfId="0" applyFont="1" applyFill="1" applyBorder="1" applyAlignment="1">
      <alignment horizontal="center" vertical="center"/>
    </xf>
    <xf numFmtId="0" fontId="146" fillId="44" borderId="114" xfId="0" applyFont="1" applyFill="1" applyBorder="1" applyAlignment="1">
      <alignment vertical="center"/>
    </xf>
    <xf numFmtId="0" fontId="153" fillId="44" borderId="96" xfId="0" applyFont="1" applyFill="1" applyBorder="1" applyAlignment="1">
      <alignment horizontal="center" vertical="center" wrapText="1"/>
    </xf>
    <xf numFmtId="0" fontId="153" fillId="44" borderId="115" xfId="0" applyFont="1" applyFill="1" applyBorder="1" applyAlignment="1">
      <alignment horizontal="center" vertical="center" wrapText="1"/>
    </xf>
    <xf numFmtId="0" fontId="153" fillId="44" borderId="116" xfId="0" applyFont="1" applyFill="1" applyBorder="1" applyAlignment="1">
      <alignment horizontal="center" vertical="center"/>
    </xf>
    <xf numFmtId="0" fontId="162" fillId="45" borderId="66" xfId="0" applyFont="1" applyFill="1" applyBorder="1" applyAlignment="1">
      <alignment vertical="center"/>
    </xf>
    <xf numFmtId="0" fontId="166" fillId="45" borderId="74" xfId="0" applyFont="1" applyFill="1" applyBorder="1" applyAlignment="1">
      <alignment horizontal="center" vertical="center"/>
    </xf>
    <xf numFmtId="0" fontId="161" fillId="45" borderId="100" xfId="0" applyFont="1" applyFill="1" applyBorder="1" applyAlignment="1">
      <alignment horizontal="center" vertical="center"/>
    </xf>
    <xf numFmtId="0" fontId="164" fillId="45" borderId="25" xfId="0" applyFont="1" applyFill="1" applyBorder="1" applyAlignment="1" quotePrefix="1">
      <alignment horizontal="center" vertical="center"/>
    </xf>
    <xf numFmtId="0" fontId="146" fillId="45" borderId="63" xfId="0" applyFont="1" applyFill="1" applyBorder="1" applyAlignment="1">
      <alignment horizontal="center" vertical="center"/>
    </xf>
    <xf numFmtId="0" fontId="162" fillId="45" borderId="59" xfId="0" applyFont="1" applyFill="1" applyBorder="1" applyAlignment="1">
      <alignment horizontal="right" vertical="center"/>
    </xf>
    <xf numFmtId="0" fontId="146" fillId="45" borderId="57" xfId="0" applyFont="1" applyFill="1" applyBorder="1" applyAlignment="1">
      <alignment horizontal="center" vertical="center"/>
    </xf>
    <xf numFmtId="0" fontId="142" fillId="45" borderId="84" xfId="0" applyFont="1" applyFill="1" applyBorder="1" applyAlignment="1">
      <alignment vertical="center"/>
    </xf>
    <xf numFmtId="0" fontId="142" fillId="45" borderId="59" xfId="0" applyFont="1" applyFill="1" applyBorder="1" applyAlignment="1">
      <alignment vertical="center"/>
    </xf>
    <xf numFmtId="0" fontId="147" fillId="45" borderId="0" xfId="0" applyFont="1" applyFill="1" applyAlignment="1">
      <alignment vertical="center"/>
    </xf>
    <xf numFmtId="0" fontId="146" fillId="45" borderId="66" xfId="0" applyFont="1" applyFill="1" applyBorder="1" applyAlignment="1">
      <alignment horizontal="center" vertical="center" wrapText="1"/>
    </xf>
    <xf numFmtId="0" fontId="146" fillId="45" borderId="74" xfId="0" applyFont="1" applyFill="1" applyBorder="1" applyAlignment="1">
      <alignment horizontal="center" vertical="center" wrapText="1"/>
    </xf>
    <xf numFmtId="0" fontId="146" fillId="45" borderId="75" xfId="0" applyFont="1" applyFill="1" applyBorder="1" applyAlignment="1">
      <alignment horizontal="center" vertical="center" wrapText="1"/>
    </xf>
    <xf numFmtId="0" fontId="148" fillId="45" borderId="76" xfId="0" applyFont="1" applyFill="1" applyBorder="1" applyAlignment="1" quotePrefix="1">
      <alignment horizontal="center" vertical="center" wrapText="1"/>
    </xf>
    <xf numFmtId="0" fontId="148" fillId="45" borderId="77" xfId="0" applyFont="1" applyFill="1" applyBorder="1" applyAlignment="1" quotePrefix="1">
      <alignment horizontal="center" vertical="center" wrapText="1"/>
    </xf>
    <xf numFmtId="0" fontId="148" fillId="45" borderId="78" xfId="0" applyFont="1" applyFill="1" applyBorder="1" applyAlignment="1" quotePrefix="1">
      <alignment horizontal="center" vertical="center" wrapText="1"/>
    </xf>
    <xf numFmtId="0" fontId="142" fillId="45" borderId="63" xfId="0" applyFont="1" applyFill="1" applyBorder="1" applyAlignment="1">
      <alignment horizontal="center" vertical="center"/>
    </xf>
    <xf numFmtId="0" fontId="142" fillId="45" borderId="60" xfId="0" applyFont="1" applyFill="1" applyBorder="1" applyAlignment="1">
      <alignment horizontal="center" vertical="center"/>
    </xf>
    <xf numFmtId="0" fontId="142" fillId="45" borderId="58" xfId="0" applyFont="1" applyFill="1" applyBorder="1" applyAlignment="1">
      <alignment horizontal="center" vertical="center"/>
    </xf>
    <xf numFmtId="0" fontId="142" fillId="45" borderId="61" xfId="0" applyFont="1" applyFill="1" applyBorder="1" applyAlignment="1">
      <alignment horizontal="center" vertical="center"/>
    </xf>
    <xf numFmtId="0" fontId="142" fillId="45" borderId="61" xfId="0" applyFont="1" applyFill="1" applyBorder="1" applyAlignment="1">
      <alignment vertical="center"/>
    </xf>
    <xf numFmtId="0" fontId="146" fillId="45" borderId="117" xfId="0" applyFont="1" applyFill="1" applyBorder="1" applyAlignment="1">
      <alignment horizontal="center" vertical="center" wrapText="1"/>
    </xf>
    <xf numFmtId="0" fontId="142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0" fontId="146" fillId="45" borderId="66" xfId="0" applyFont="1" applyFill="1" applyBorder="1" applyAlignment="1">
      <alignment horizontal="center" vertical="center"/>
    </xf>
    <xf numFmtId="0" fontId="146" fillId="45" borderId="59" xfId="0" applyFont="1" applyFill="1" applyBorder="1" applyAlignment="1">
      <alignment vertical="center"/>
    </xf>
    <xf numFmtId="0" fontId="146" fillId="45" borderId="57" xfId="0" applyFont="1" applyFill="1" applyBorder="1" applyAlignment="1">
      <alignment vertical="center"/>
    </xf>
    <xf numFmtId="0" fontId="146" fillId="45" borderId="63" xfId="0" applyFont="1" applyFill="1" applyBorder="1" applyAlignment="1">
      <alignment vertical="center"/>
    </xf>
    <xf numFmtId="0" fontId="162" fillId="45" borderId="61" xfId="0" applyFont="1" applyFill="1" applyBorder="1" applyAlignment="1">
      <alignment vertical="center"/>
    </xf>
    <xf numFmtId="0" fontId="162" fillId="44" borderId="61" xfId="0" applyFont="1" applyFill="1" applyBorder="1" applyAlignment="1">
      <alignment vertical="center"/>
    </xf>
    <xf numFmtId="0" fontId="142" fillId="44" borderId="0" xfId="0" applyFont="1" applyFill="1" applyAlignment="1">
      <alignment vertical="center" wrapText="1"/>
    </xf>
    <xf numFmtId="0" fontId="142" fillId="44" borderId="77" xfId="0" applyFont="1" applyFill="1" applyBorder="1" applyAlignment="1">
      <alignment horizontal="center" vertical="center" wrapText="1"/>
    </xf>
    <xf numFmtId="0" fontId="142" fillId="44" borderId="99" xfId="0" applyFont="1" applyFill="1" applyBorder="1" applyAlignment="1">
      <alignment vertical="center"/>
    </xf>
    <xf numFmtId="0" fontId="146" fillId="44" borderId="118" xfId="0" applyFont="1" applyFill="1" applyBorder="1" applyAlignment="1">
      <alignment vertical="center"/>
    </xf>
    <xf numFmtId="0" fontId="146" fillId="44" borderId="59" xfId="0" applyFont="1" applyFill="1" applyBorder="1" applyAlignment="1">
      <alignment vertical="center" wrapText="1"/>
    </xf>
    <xf numFmtId="0" fontId="146" fillId="44" borderId="70" xfId="0" applyFont="1" applyFill="1" applyBorder="1" applyAlignment="1">
      <alignment vertical="center" wrapText="1"/>
    </xf>
    <xf numFmtId="0" fontId="146" fillId="44" borderId="119" xfId="0" applyFont="1" applyFill="1" applyBorder="1" applyAlignment="1">
      <alignment vertical="center"/>
    </xf>
    <xf numFmtId="0" fontId="163" fillId="44" borderId="120" xfId="0" applyFont="1" applyFill="1" applyBorder="1" applyAlignment="1">
      <alignment vertical="center"/>
    </xf>
    <xf numFmtId="0" fontId="162" fillId="44" borderId="103" xfId="0" applyFont="1" applyFill="1" applyBorder="1" applyAlignment="1">
      <alignment horizontal="center" vertical="center" wrapText="1"/>
    </xf>
    <xf numFmtId="0" fontId="162" fillId="44" borderId="103" xfId="0" applyFont="1" applyFill="1" applyBorder="1" applyAlignment="1">
      <alignment horizontal="center" vertical="center"/>
    </xf>
    <xf numFmtId="0" fontId="162" fillId="44" borderId="103" xfId="0" applyFont="1" applyFill="1" applyBorder="1" applyAlignment="1">
      <alignment vertical="center"/>
    </xf>
    <xf numFmtId="0" fontId="35" fillId="35" borderId="121" xfId="0" applyFont="1" applyFill="1" applyBorder="1" applyAlignment="1">
      <alignment horizontal="center" vertical="center"/>
    </xf>
    <xf numFmtId="0" fontId="142" fillId="45" borderId="0" xfId="0" applyFont="1" applyFill="1" applyAlignment="1">
      <alignment vertical="center" wrapText="1"/>
    </xf>
    <xf numFmtId="0" fontId="163" fillId="45" borderId="0" xfId="0" applyFont="1" applyFill="1" applyAlignment="1">
      <alignment vertical="center"/>
    </xf>
    <xf numFmtId="0" fontId="142" fillId="45" borderId="66" xfId="0" applyFont="1" applyFill="1" applyBorder="1" applyAlignment="1">
      <alignment horizontal="center" vertical="center"/>
    </xf>
    <xf numFmtId="0" fontId="142" fillId="45" borderId="74" xfId="0" applyFont="1" applyFill="1" applyBorder="1" applyAlignment="1">
      <alignment horizontal="center" vertical="center" wrapText="1"/>
    </xf>
    <xf numFmtId="0" fontId="142" fillId="45" borderId="99" xfId="0" applyFont="1" applyFill="1" applyBorder="1" applyAlignment="1">
      <alignment vertical="center"/>
    </xf>
    <xf numFmtId="0" fontId="142" fillId="45" borderId="75" xfId="0" applyFont="1" applyFill="1" applyBorder="1" applyAlignment="1">
      <alignment horizontal="center" vertical="center" wrapText="1"/>
    </xf>
    <xf numFmtId="0" fontId="146" fillId="45" borderId="67" xfId="0" applyFont="1" applyFill="1" applyBorder="1" applyAlignment="1">
      <alignment vertical="center"/>
    </xf>
    <xf numFmtId="0" fontId="146" fillId="45" borderId="59" xfId="0" applyFont="1" applyFill="1" applyBorder="1" applyAlignment="1">
      <alignment vertical="center" wrapText="1"/>
    </xf>
    <xf numFmtId="0" fontId="146" fillId="45" borderId="70" xfId="0" applyFont="1" applyFill="1" applyBorder="1" applyAlignment="1">
      <alignment vertical="center" wrapText="1"/>
    </xf>
    <xf numFmtId="0" fontId="163" fillId="45" borderId="120" xfId="0" applyFont="1" applyFill="1" applyBorder="1" applyAlignment="1">
      <alignment vertical="center"/>
    </xf>
    <xf numFmtId="0" fontId="162" fillId="45" borderId="122" xfId="0" applyFont="1" applyFill="1" applyBorder="1" applyAlignment="1">
      <alignment horizontal="center" vertical="center" wrapText="1"/>
    </xf>
    <xf numFmtId="0" fontId="162" fillId="45" borderId="103" xfId="0" applyFont="1" applyFill="1" applyBorder="1" applyAlignment="1">
      <alignment horizontal="center" vertical="center"/>
    </xf>
    <xf numFmtId="0" fontId="162" fillId="45" borderId="103" xfId="0" applyFont="1" applyFill="1" applyBorder="1" applyAlignment="1">
      <alignment vertical="center"/>
    </xf>
    <xf numFmtId="0" fontId="162" fillId="45" borderId="104" xfId="0" applyFont="1" applyFill="1" applyBorder="1" applyAlignment="1">
      <alignment horizontal="center" vertical="center"/>
    </xf>
    <xf numFmtId="0" fontId="153" fillId="44" borderId="75" xfId="0" applyFont="1" applyFill="1" applyBorder="1" applyAlignment="1">
      <alignment horizontal="center" vertical="center" wrapText="1"/>
    </xf>
    <xf numFmtId="20" fontId="5" fillId="0" borderId="41" xfId="0" applyNumberFormat="1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149" fillId="44" borderId="80" xfId="0" applyFont="1" applyFill="1" applyBorder="1" applyAlignment="1">
      <alignment horizontal="center" vertical="center"/>
    </xf>
    <xf numFmtId="0" fontId="161" fillId="44" borderId="67" xfId="0" applyFont="1" applyFill="1" applyBorder="1" applyAlignment="1">
      <alignment horizontal="center" vertical="center"/>
    </xf>
    <xf numFmtId="0" fontId="142" fillId="44" borderId="98" xfId="0" applyFont="1" applyFill="1" applyBorder="1" applyAlignment="1">
      <alignment horizontal="center" vertical="center"/>
    </xf>
    <xf numFmtId="0" fontId="142" fillId="44" borderId="99" xfId="0" applyFont="1" applyFill="1" applyBorder="1" applyAlignment="1">
      <alignment horizontal="center" vertical="center"/>
    </xf>
    <xf numFmtId="0" fontId="147" fillId="44" borderId="99" xfId="0" applyFont="1" applyFill="1" applyBorder="1" applyAlignment="1">
      <alignment horizontal="center" vertical="center"/>
    </xf>
    <xf numFmtId="0" fontId="162" fillId="44" borderId="102" xfId="0" applyFont="1" applyFill="1" applyBorder="1" applyAlignment="1">
      <alignment horizontal="center" vertical="center"/>
    </xf>
    <xf numFmtId="0" fontId="161" fillId="44" borderId="103" xfId="0" applyFont="1" applyFill="1" applyBorder="1" applyAlignment="1">
      <alignment horizontal="center" vertical="center"/>
    </xf>
    <xf numFmtId="0" fontId="147" fillId="44" borderId="113" xfId="0" applyFont="1" applyFill="1" applyBorder="1" applyAlignment="1">
      <alignment horizontal="center" vertical="center"/>
    </xf>
    <xf numFmtId="0" fontId="147" fillId="44" borderId="113" xfId="0" applyFont="1" applyFill="1" applyBorder="1" applyAlignment="1">
      <alignment horizontal="center" vertical="center" wrapText="1"/>
    </xf>
    <xf numFmtId="0" fontId="147" fillId="44" borderId="103" xfId="0" applyFont="1" applyFill="1" applyBorder="1" applyAlignment="1">
      <alignment horizontal="center" vertical="center"/>
    </xf>
    <xf numFmtId="0" fontId="147" fillId="44" borderId="104" xfId="0" applyFont="1" applyFill="1" applyBorder="1" applyAlignment="1">
      <alignment horizontal="center" vertical="center"/>
    </xf>
    <xf numFmtId="0" fontId="163" fillId="44" borderId="0" xfId="0" applyFont="1" applyFill="1" applyAlignment="1">
      <alignment horizontal="center" vertical="center"/>
    </xf>
    <xf numFmtId="0" fontId="163" fillId="44" borderId="0" xfId="0" applyFont="1" applyFill="1" applyBorder="1" applyAlignment="1">
      <alignment vertical="center"/>
    </xf>
    <xf numFmtId="0" fontId="25" fillId="44" borderId="0" xfId="0" applyFont="1" applyFill="1" applyBorder="1" applyAlignment="1">
      <alignment horizontal="center" vertical="center"/>
    </xf>
    <xf numFmtId="0" fontId="142" fillId="44" borderId="108" xfId="0" applyFont="1" applyFill="1" applyBorder="1" applyAlignment="1">
      <alignment horizontal="center" vertical="center" wrapText="1"/>
    </xf>
    <xf numFmtId="0" fontId="142" fillId="44" borderId="123" xfId="0" applyFont="1" applyFill="1" applyBorder="1" applyAlignment="1">
      <alignment horizontal="center" vertical="center" wrapText="1"/>
    </xf>
    <xf numFmtId="0" fontId="146" fillId="44" borderId="76" xfId="0" applyFont="1" applyFill="1" applyBorder="1" applyAlignment="1">
      <alignment vertical="center" wrapText="1"/>
    </xf>
    <xf numFmtId="0" fontId="147" fillId="44" borderId="124" xfId="0" applyFont="1" applyFill="1" applyBorder="1" applyAlignment="1">
      <alignment horizontal="center" vertical="center"/>
    </xf>
    <xf numFmtId="0" fontId="161" fillId="44" borderId="61" xfId="0" applyFont="1" applyFill="1" applyBorder="1" applyAlignment="1">
      <alignment horizontal="center" vertical="center"/>
    </xf>
    <xf numFmtId="0" fontId="161" fillId="44" borderId="91" xfId="0" applyFont="1" applyFill="1" applyBorder="1" applyAlignment="1">
      <alignment horizontal="center" vertical="center"/>
    </xf>
    <xf numFmtId="0" fontId="147" fillId="44" borderId="75" xfId="0" applyFont="1" applyFill="1" applyBorder="1" applyAlignment="1">
      <alignment horizontal="center" vertical="center" wrapText="1"/>
    </xf>
    <xf numFmtId="0" fontId="143" fillId="44" borderId="0" xfId="0" applyFont="1" applyFill="1" applyBorder="1" applyAlignment="1">
      <alignment horizontal="center" vertical="center" wrapText="1"/>
    </xf>
    <xf numFmtId="0" fontId="151" fillId="44" borderId="0" xfId="0" applyFont="1" applyFill="1" applyBorder="1" applyAlignment="1">
      <alignment horizontal="center" vertical="center"/>
    </xf>
    <xf numFmtId="0" fontId="171" fillId="44" borderId="0" xfId="0" applyFont="1" applyFill="1" applyAlignment="1">
      <alignment vertical="center"/>
    </xf>
    <xf numFmtId="0" fontId="172" fillId="44" borderId="0" xfId="0" applyFont="1" applyFill="1" applyBorder="1" applyAlignment="1">
      <alignment horizontal="center" vertical="center"/>
    </xf>
    <xf numFmtId="0" fontId="173" fillId="4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46" fillId="44" borderId="58" xfId="0" applyFont="1" applyFill="1" applyBorder="1" applyAlignment="1">
      <alignment horizontal="center" vertical="center" wrapText="1"/>
    </xf>
    <xf numFmtId="0" fontId="142" fillId="44" borderId="71" xfId="0" applyFont="1" applyFill="1" applyBorder="1" applyAlignment="1">
      <alignment horizontal="center" vertical="center"/>
    </xf>
    <xf numFmtId="0" fontId="153" fillId="44" borderId="99" xfId="0" applyFont="1" applyFill="1" applyBorder="1" applyAlignment="1">
      <alignment horizontal="center" vertical="center" wrapText="1"/>
    </xf>
    <xf numFmtId="0" fontId="168" fillId="44" borderId="100" xfId="0" applyFont="1" applyFill="1" applyBorder="1" applyAlignment="1">
      <alignment horizontal="center" vertical="center"/>
    </xf>
    <xf numFmtId="0" fontId="168" fillId="44" borderId="123" xfId="0" applyFont="1" applyFill="1" applyBorder="1" applyAlignment="1">
      <alignment horizontal="center" vertical="center"/>
    </xf>
    <xf numFmtId="0" fontId="168" fillId="44" borderId="0" xfId="0" applyFont="1" applyFill="1" applyBorder="1" applyAlignment="1">
      <alignment vertical="center"/>
    </xf>
    <xf numFmtId="0" fontId="142" fillId="45" borderId="102" xfId="0" applyFont="1" applyFill="1" applyBorder="1" applyAlignment="1">
      <alignment vertical="center"/>
    </xf>
    <xf numFmtId="0" fontId="174" fillId="45" borderId="26" xfId="0" applyFont="1" applyFill="1" applyBorder="1" applyAlignment="1">
      <alignment horizontal="center" vertical="center" wrapText="1"/>
    </xf>
    <xf numFmtId="0" fontId="161" fillId="45" borderId="103" xfId="0" applyFont="1" applyFill="1" applyBorder="1" applyAlignment="1">
      <alignment horizontal="center" vertical="center"/>
    </xf>
    <xf numFmtId="0" fontId="161" fillId="45" borderId="104" xfId="0" applyFont="1" applyFill="1" applyBorder="1" applyAlignment="1">
      <alignment horizontal="center" vertical="center"/>
    </xf>
    <xf numFmtId="0" fontId="175" fillId="44" borderId="67" xfId="0" applyFont="1" applyFill="1" applyBorder="1" applyAlignment="1">
      <alignment horizontal="center" vertical="center" wrapText="1"/>
    </xf>
    <xf numFmtId="0" fontId="161" fillId="44" borderId="71" xfId="0" applyFont="1" applyFill="1" applyBorder="1" applyAlignment="1">
      <alignment horizontal="center" vertical="center"/>
    </xf>
    <xf numFmtId="0" fontId="163" fillId="44" borderId="102" xfId="0" applyFont="1" applyFill="1" applyBorder="1" applyAlignment="1">
      <alignment vertical="center"/>
    </xf>
    <xf numFmtId="0" fontId="146" fillId="44" borderId="103" xfId="0" applyFont="1" applyFill="1" applyBorder="1" applyAlignment="1">
      <alignment vertical="center"/>
    </xf>
    <xf numFmtId="20" fontId="154" fillId="44" borderId="101" xfId="0" applyNumberFormat="1" applyFont="1" applyFill="1" applyBorder="1" applyAlignment="1" quotePrefix="1">
      <alignment horizontal="center" vertical="center"/>
    </xf>
    <xf numFmtId="0" fontId="97" fillId="0" borderId="0" xfId="0" applyFont="1" applyAlignment="1">
      <alignment horizontal="center" vertical="center"/>
    </xf>
    <xf numFmtId="0" fontId="176" fillId="44" borderId="98" xfId="0" applyFont="1" applyFill="1" applyBorder="1" applyAlignment="1">
      <alignment horizontal="center" vertical="center" wrapText="1"/>
    </xf>
    <xf numFmtId="0" fontId="176" fillId="44" borderId="99" xfId="0" applyFont="1" applyFill="1" applyBorder="1" applyAlignment="1">
      <alignment horizontal="center" vertical="center" wrapText="1"/>
    </xf>
    <xf numFmtId="0" fontId="177" fillId="44" borderId="99" xfId="0" applyFont="1" applyFill="1" applyBorder="1" applyAlignment="1">
      <alignment horizontal="center" vertical="center" wrapText="1"/>
    </xf>
    <xf numFmtId="0" fontId="177" fillId="44" borderId="100" xfId="0" applyFont="1" applyFill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left" vertical="center"/>
    </xf>
    <xf numFmtId="0" fontId="155" fillId="44" borderId="0" xfId="0" applyFont="1" applyFill="1" applyAlignment="1">
      <alignment horizontal="center" vertical="top"/>
    </xf>
    <xf numFmtId="0" fontId="155" fillId="44" borderId="0" xfId="0" applyFont="1" applyFill="1" applyBorder="1" applyAlignment="1">
      <alignment horizontal="left" vertical="top" wrapText="1"/>
    </xf>
    <xf numFmtId="0" fontId="155" fillId="44" borderId="0" xfId="0" applyFont="1" applyFill="1" applyBorder="1" applyAlignment="1">
      <alignment horizontal="center" vertical="top"/>
    </xf>
    <xf numFmtId="0" fontId="156" fillId="44" borderId="0" xfId="0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12" fillId="35" borderId="125" xfId="0" applyFont="1" applyFill="1" applyBorder="1" applyAlignment="1">
      <alignment horizontal="right" vertical="center"/>
    </xf>
    <xf numFmtId="0" fontId="12" fillId="35" borderId="56" xfId="0" applyFont="1" applyFill="1" applyBorder="1" applyAlignment="1">
      <alignment horizontal="center" vertical="center"/>
    </xf>
    <xf numFmtId="2" fontId="6" fillId="35" borderId="54" xfId="0" applyNumberFormat="1" applyFont="1" applyFill="1" applyBorder="1" applyAlignment="1">
      <alignment vertical="center" wrapText="1"/>
    </xf>
    <xf numFmtId="2" fontId="12" fillId="35" borderId="48" xfId="0" applyNumberFormat="1" applyFont="1" applyFill="1" applyBorder="1" applyAlignment="1">
      <alignment horizontal="center" vertical="center"/>
    </xf>
    <xf numFmtId="2" fontId="12" fillId="35" borderId="20" xfId="0" applyNumberFormat="1" applyFont="1" applyFill="1" applyBorder="1" applyAlignment="1">
      <alignment horizontal="center" vertical="center"/>
    </xf>
    <xf numFmtId="2" fontId="12" fillId="35" borderId="47" xfId="0" applyNumberFormat="1" applyFont="1" applyFill="1" applyBorder="1" applyAlignment="1">
      <alignment horizontal="center" vertical="center"/>
    </xf>
    <xf numFmtId="2" fontId="12" fillId="35" borderId="48" xfId="0" applyNumberFormat="1" applyFont="1" applyFill="1" applyBorder="1" applyAlignment="1">
      <alignment horizontal="right" vertical="center"/>
    </xf>
    <xf numFmtId="1" fontId="12" fillId="35" borderId="48" xfId="0" applyNumberFormat="1" applyFont="1" applyFill="1" applyBorder="1" applyAlignment="1">
      <alignment horizontal="right" vertical="center"/>
    </xf>
    <xf numFmtId="1" fontId="12" fillId="35" borderId="11" xfId="0" applyNumberFormat="1" applyFont="1" applyFill="1" applyBorder="1" applyAlignment="1">
      <alignment horizontal="right" vertical="center"/>
    </xf>
    <xf numFmtId="1" fontId="12" fillId="35" borderId="47" xfId="0" applyNumberFormat="1" applyFont="1" applyFill="1" applyBorder="1" applyAlignment="1">
      <alignment horizontal="right" vertical="center"/>
    </xf>
    <xf numFmtId="1" fontId="12" fillId="35" borderId="125" xfId="0" applyNumberFormat="1" applyFont="1" applyFill="1" applyBorder="1" applyAlignment="1">
      <alignment horizontal="right" vertical="center"/>
    </xf>
    <xf numFmtId="2" fontId="12" fillId="35" borderId="20" xfId="0" applyNumberFormat="1" applyFont="1" applyFill="1" applyBorder="1" applyAlignment="1">
      <alignment horizontal="left" vertical="center"/>
    </xf>
    <xf numFmtId="0" fontId="158" fillId="44" borderId="0" xfId="0" applyFont="1" applyFill="1" applyBorder="1" applyAlignment="1">
      <alignment horizontal="center" vertical="center" wrapText="1"/>
    </xf>
    <xf numFmtId="0" fontId="173" fillId="44" borderId="0" xfId="0" applyFont="1" applyFill="1" applyBorder="1" applyAlignment="1">
      <alignment horizontal="center" vertical="center" wrapText="1"/>
    </xf>
    <xf numFmtId="0" fontId="173" fillId="44" borderId="0" xfId="0" applyFont="1" applyFill="1" applyBorder="1" applyAlignment="1">
      <alignment horizontal="center" vertical="center"/>
    </xf>
    <xf numFmtId="0" fontId="172" fillId="44" borderId="0" xfId="0" applyFont="1" applyFill="1" applyBorder="1" applyAlignment="1">
      <alignment vertical="center"/>
    </xf>
    <xf numFmtId="0" fontId="171" fillId="44" borderId="0" xfId="0" applyFont="1" applyFill="1" applyBorder="1" applyAlignment="1">
      <alignment vertical="center"/>
    </xf>
    <xf numFmtId="0" fontId="178" fillId="44" borderId="0" xfId="0" applyFont="1" applyFill="1" applyBorder="1" applyAlignment="1">
      <alignment horizontal="center" vertical="center" wrapText="1"/>
    </xf>
    <xf numFmtId="0" fontId="151" fillId="44" borderId="0" xfId="0" applyFont="1" applyFill="1" applyBorder="1" applyAlignment="1">
      <alignment vertical="center"/>
    </xf>
    <xf numFmtId="0" fontId="179" fillId="44" borderId="0" xfId="0" applyFont="1" applyFill="1" applyBorder="1" applyAlignment="1">
      <alignment horizontal="center" vertical="center" wrapText="1"/>
    </xf>
    <xf numFmtId="0" fontId="153" fillId="44" borderId="81" xfId="0" applyFont="1" applyFill="1" applyBorder="1" applyAlignment="1">
      <alignment horizontal="center" vertical="center" wrapText="1"/>
    </xf>
    <xf numFmtId="0" fontId="180" fillId="44" borderId="96" xfId="0" applyFont="1" applyFill="1" applyBorder="1" applyAlignment="1">
      <alignment horizontal="center" vertical="center"/>
    </xf>
    <xf numFmtId="0" fontId="152" fillId="0" borderId="0" xfId="0" applyFont="1" applyBorder="1" applyAlignment="1">
      <alignment vertical="center"/>
    </xf>
    <xf numFmtId="0" fontId="181" fillId="44" borderId="0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right" vertical="center"/>
    </xf>
    <xf numFmtId="0" fontId="5" fillId="35" borderId="47" xfId="0" applyFont="1" applyFill="1" applyBorder="1" applyAlignment="1">
      <alignment horizontal="right" vertical="center"/>
    </xf>
    <xf numFmtId="0" fontId="5" fillId="35" borderId="48" xfId="0" applyFont="1" applyFill="1" applyBorder="1" applyAlignment="1">
      <alignment horizontal="right" vertical="center"/>
    </xf>
    <xf numFmtId="0" fontId="5" fillId="35" borderId="47" xfId="0" applyFont="1" applyFill="1" applyBorder="1" applyAlignment="1">
      <alignment horizontal="right" vertical="center" wrapText="1"/>
    </xf>
    <xf numFmtId="0" fontId="5" fillId="35" borderId="50" xfId="0" applyFont="1" applyFill="1" applyBorder="1" applyAlignment="1">
      <alignment horizontal="right" vertical="center" wrapText="1"/>
    </xf>
    <xf numFmtId="190" fontId="10" fillId="35" borderId="13" xfId="0" applyNumberFormat="1" applyFont="1" applyFill="1" applyBorder="1" applyAlignment="1">
      <alignment horizontal="center" vertical="center" wrapText="1"/>
    </xf>
    <xf numFmtId="1" fontId="12" fillId="35" borderId="0" xfId="0" applyNumberFormat="1" applyFont="1" applyFill="1" applyBorder="1" applyAlignment="1">
      <alignment horizontal="right" vertical="center"/>
    </xf>
    <xf numFmtId="2" fontId="12" fillId="35" borderId="0" xfId="0" applyNumberFormat="1" applyFont="1" applyFill="1" applyBorder="1" applyAlignment="1">
      <alignment horizontal="left" vertical="center"/>
    </xf>
    <xf numFmtId="2" fontId="10" fillId="0" borderId="46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2" fontId="12" fillId="35" borderId="52" xfId="0" applyNumberFormat="1" applyFont="1" applyFill="1" applyBorder="1" applyAlignment="1">
      <alignment horizontal="left" vertical="center"/>
    </xf>
    <xf numFmtId="1" fontId="12" fillId="35" borderId="50" xfId="0" applyNumberFormat="1" applyFont="1" applyFill="1" applyBorder="1" applyAlignment="1">
      <alignment horizontal="right" vertical="center"/>
    </xf>
    <xf numFmtId="2" fontId="12" fillId="35" borderId="49" xfId="0" applyNumberFormat="1" applyFont="1" applyFill="1" applyBorder="1" applyAlignment="1">
      <alignment horizontal="left" vertical="center"/>
    </xf>
    <xf numFmtId="1" fontId="12" fillId="35" borderId="49" xfId="0" applyNumberFormat="1" applyFont="1" applyFill="1" applyBorder="1" applyAlignment="1">
      <alignment horizontal="right" vertical="center"/>
    </xf>
    <xf numFmtId="2" fontId="12" fillId="35" borderId="45" xfId="0" applyNumberFormat="1" applyFont="1" applyFill="1" applyBorder="1" applyAlignment="1">
      <alignment horizontal="left" vertical="center"/>
    </xf>
    <xf numFmtId="2" fontId="12" fillId="35" borderId="48" xfId="0" applyNumberFormat="1" applyFont="1" applyFill="1" applyBorder="1" applyAlignment="1">
      <alignment horizontal="left" vertical="center"/>
    </xf>
    <xf numFmtId="0" fontId="17" fillId="35" borderId="3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 quotePrefix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 wrapText="1"/>
    </xf>
    <xf numFmtId="2" fontId="6" fillId="35" borderId="11" xfId="0" applyNumberFormat="1" applyFont="1" applyFill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127" xfId="0" applyFont="1" applyBorder="1" applyAlignment="1" quotePrefix="1">
      <alignment horizontal="center" vertical="center"/>
    </xf>
    <xf numFmtId="0" fontId="6" fillId="0" borderId="128" xfId="0" applyFont="1" applyBorder="1" applyAlignment="1">
      <alignment vertical="center" wrapText="1"/>
    </xf>
    <xf numFmtId="2" fontId="6" fillId="35" borderId="129" xfId="0" applyNumberFormat="1" applyFont="1" applyFill="1" applyBorder="1" applyAlignment="1">
      <alignment vertical="center" wrapText="1"/>
    </xf>
    <xf numFmtId="0" fontId="7" fillId="0" borderId="130" xfId="0" applyFont="1" applyBorder="1" applyAlignment="1" quotePrefix="1">
      <alignment horizontal="center" vertical="center"/>
    </xf>
    <xf numFmtId="0" fontId="6" fillId="35" borderId="129" xfId="0" applyFont="1" applyFill="1" applyBorder="1" applyAlignment="1">
      <alignment horizontal="center" vertical="center" wrapText="1"/>
    </xf>
    <xf numFmtId="0" fontId="6" fillId="35" borderId="131" xfId="0" applyFont="1" applyFill="1" applyBorder="1" applyAlignment="1">
      <alignment horizontal="center" vertical="center" wrapText="1"/>
    </xf>
    <xf numFmtId="0" fontId="6" fillId="35" borderId="132" xfId="0" applyFont="1" applyFill="1" applyBorder="1" applyAlignment="1">
      <alignment horizontal="center" vertical="center" wrapText="1"/>
    </xf>
    <xf numFmtId="2" fontId="7" fillId="35" borderId="128" xfId="0" applyNumberFormat="1" applyFont="1" applyFill="1" applyBorder="1" applyAlignment="1">
      <alignment horizontal="center" vertical="center"/>
    </xf>
    <xf numFmtId="0" fontId="7" fillId="35" borderId="129" xfId="0" applyFont="1" applyFill="1" applyBorder="1" applyAlignment="1">
      <alignment horizontal="center" vertical="center"/>
    </xf>
    <xf numFmtId="0" fontId="7" fillId="35" borderId="131" xfId="0" applyFont="1" applyFill="1" applyBorder="1" applyAlignment="1">
      <alignment horizontal="center" vertical="center"/>
    </xf>
    <xf numFmtId="0" fontId="7" fillId="35" borderId="132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33" xfId="0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33" xfId="0" applyFont="1" applyFill="1" applyBorder="1" applyAlignment="1">
      <alignment horizontal="center" vertical="center"/>
    </xf>
    <xf numFmtId="0" fontId="6" fillId="35" borderId="134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135" xfId="0" applyFont="1" applyFill="1" applyBorder="1" applyAlignment="1">
      <alignment horizontal="center" vertical="center" wrapText="1"/>
    </xf>
    <xf numFmtId="2" fontId="7" fillId="35" borderId="136" xfId="0" applyNumberFormat="1" applyFont="1" applyFill="1" applyBorder="1" applyAlignment="1">
      <alignment horizontal="center" vertical="center"/>
    </xf>
    <xf numFmtId="0" fontId="7" fillId="35" borderId="134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35" xfId="0" applyFont="1" applyFill="1" applyBorder="1" applyAlignment="1">
      <alignment horizontal="center" vertical="center"/>
    </xf>
    <xf numFmtId="2" fontId="6" fillId="35" borderId="15" xfId="0" applyNumberFormat="1" applyFont="1" applyFill="1" applyBorder="1" applyAlignment="1">
      <alignment vertical="center" wrapText="1"/>
    </xf>
    <xf numFmtId="2" fontId="7" fillId="35" borderId="15" xfId="0" applyNumberFormat="1" applyFont="1" applyFill="1" applyBorder="1" applyAlignment="1">
      <alignment horizontal="center" vertical="center"/>
    </xf>
    <xf numFmtId="2" fontId="6" fillId="35" borderId="137" xfId="0" applyNumberFormat="1" applyFont="1" applyFill="1" applyBorder="1" applyAlignment="1">
      <alignment vertical="center" wrapText="1"/>
    </xf>
    <xf numFmtId="2" fontId="7" fillId="35" borderId="137" xfId="0" applyNumberFormat="1" applyFont="1" applyFill="1" applyBorder="1" applyAlignment="1">
      <alignment horizontal="center" vertical="center"/>
    </xf>
    <xf numFmtId="0" fontId="182" fillId="0" borderId="0" xfId="0" applyFont="1" applyAlignment="1">
      <alignment/>
    </xf>
    <xf numFmtId="0" fontId="48" fillId="0" borderId="0" xfId="0" applyFont="1" applyAlignment="1">
      <alignment/>
    </xf>
    <xf numFmtId="0" fontId="183" fillId="0" borderId="0" xfId="0" applyFont="1" applyAlignment="1">
      <alignment/>
    </xf>
    <xf numFmtId="2" fontId="183" fillId="0" borderId="0" xfId="0" applyNumberFormat="1" applyFont="1" applyAlignment="1">
      <alignment/>
    </xf>
    <xf numFmtId="0" fontId="184" fillId="0" borderId="0" xfId="0" applyFont="1" applyAlignment="1">
      <alignment/>
    </xf>
    <xf numFmtId="2" fontId="184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69" fillId="44" borderId="74" xfId="0" applyFont="1" applyFill="1" applyBorder="1" applyAlignment="1">
      <alignment horizontal="center" vertical="center" wrapText="1"/>
    </xf>
    <xf numFmtId="0" fontId="169" fillId="45" borderId="74" xfId="0" applyFont="1" applyFill="1" applyBorder="1" applyAlignment="1">
      <alignment horizontal="center" vertical="center" wrapText="1"/>
    </xf>
    <xf numFmtId="0" fontId="185" fillId="44" borderId="39" xfId="0" applyFont="1" applyFill="1" applyBorder="1" applyAlignment="1">
      <alignment horizontal="center" vertical="center" wrapText="1"/>
    </xf>
    <xf numFmtId="0" fontId="185" fillId="44" borderId="138" xfId="0" applyFont="1" applyFill="1" applyBorder="1" applyAlignment="1" quotePrefix="1">
      <alignment horizontal="center" vertical="center"/>
    </xf>
    <xf numFmtId="0" fontId="185" fillId="45" borderId="39" xfId="0" applyFont="1" applyFill="1" applyBorder="1" applyAlignment="1">
      <alignment horizontal="center" vertical="center" wrapText="1"/>
    </xf>
    <xf numFmtId="0" fontId="185" fillId="45" borderId="138" xfId="0" applyFont="1" applyFill="1" applyBorder="1" applyAlignment="1" quotePrefix="1">
      <alignment horizontal="center" vertical="center"/>
    </xf>
    <xf numFmtId="1" fontId="12" fillId="36" borderId="19" xfId="0" applyNumberFormat="1" applyFont="1" applyFill="1" applyBorder="1" applyAlignment="1">
      <alignment horizontal="center" vertical="center"/>
    </xf>
    <xf numFmtId="1" fontId="12" fillId="36" borderId="14" xfId="0" applyNumberFormat="1" applyFont="1" applyFill="1" applyBorder="1" applyAlignment="1">
      <alignment horizontal="center" vertical="center"/>
    </xf>
    <xf numFmtId="1" fontId="12" fillId="36" borderId="41" xfId="0" applyNumberFormat="1" applyFont="1" applyFill="1" applyBorder="1" applyAlignment="1">
      <alignment horizontal="center" vertical="center"/>
    </xf>
    <xf numFmtId="2" fontId="12" fillId="35" borderId="139" xfId="0" applyNumberFormat="1" applyFont="1" applyFill="1" applyBorder="1" applyAlignment="1">
      <alignment horizontal="center" vertical="center"/>
    </xf>
    <xf numFmtId="15" fontId="34" fillId="0" borderId="69" xfId="0" applyNumberFormat="1" applyFont="1" applyBorder="1" applyAlignment="1">
      <alignment vertical="center"/>
    </xf>
    <xf numFmtId="171" fontId="15" fillId="0" borderId="36" xfId="0" applyNumberFormat="1" applyFont="1" applyBorder="1" applyAlignment="1">
      <alignment horizontal="center" vertical="center" wrapText="1"/>
    </xf>
    <xf numFmtId="0" fontId="17" fillId="35" borderId="140" xfId="0" applyFont="1" applyFill="1" applyBorder="1" applyAlignment="1">
      <alignment horizontal="center" vertical="center" wrapText="1"/>
    </xf>
    <xf numFmtId="190" fontId="17" fillId="0" borderId="30" xfId="0" applyNumberFormat="1" applyFont="1" applyBorder="1" applyAlignment="1">
      <alignment horizontal="center" vertical="center" wrapText="1"/>
    </xf>
    <xf numFmtId="2" fontId="142" fillId="44" borderId="27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5" fillId="43" borderId="69" xfId="0" applyFont="1" applyFill="1" applyBorder="1" applyAlignment="1">
      <alignment horizontal="left" vertical="center"/>
    </xf>
    <xf numFmtId="0" fontId="33" fillId="34" borderId="69" xfId="0" applyFont="1" applyFill="1" applyBorder="1" applyAlignment="1">
      <alignment vertical="center"/>
    </xf>
    <xf numFmtId="0" fontId="33" fillId="34" borderId="69" xfId="0" applyFont="1" applyFill="1" applyBorder="1" applyAlignment="1">
      <alignment horizontal="justify" vertical="center"/>
    </xf>
    <xf numFmtId="0" fontId="143" fillId="46" borderId="141" xfId="0" applyFont="1" applyFill="1" applyBorder="1" applyAlignment="1">
      <alignment horizontal="center" vertical="center"/>
    </xf>
    <xf numFmtId="0" fontId="143" fillId="46" borderId="14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68" fillId="42" borderId="79" xfId="0" applyFont="1" applyFill="1" applyBorder="1" applyAlignment="1">
      <alignment horizontal="center" vertical="center"/>
    </xf>
    <xf numFmtId="0" fontId="168" fillId="42" borderId="107" xfId="0" applyFont="1" applyFill="1" applyBorder="1" applyAlignment="1">
      <alignment horizontal="center" vertical="center"/>
    </xf>
    <xf numFmtId="0" fontId="168" fillId="42" borderId="80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42" fillId="47" borderId="0" xfId="0" applyFont="1" applyFill="1" applyAlignment="1">
      <alignment horizontal="center" vertical="center"/>
    </xf>
    <xf numFmtId="0" fontId="142" fillId="40" borderId="0" xfId="0" applyFont="1" applyFill="1" applyAlignment="1">
      <alignment horizontal="center" vertical="center"/>
    </xf>
    <xf numFmtId="2" fontId="186" fillId="44" borderId="0" xfId="0" applyNumberFormat="1" applyFont="1" applyFill="1" applyAlignment="1">
      <alignment horizontal="center" vertical="center"/>
    </xf>
    <xf numFmtId="0" fontId="153" fillId="44" borderId="74" xfId="0" applyFont="1" applyFill="1" applyBorder="1" applyAlignment="1">
      <alignment horizontal="center" vertical="center"/>
    </xf>
    <xf numFmtId="0" fontId="153" fillId="44" borderId="7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2" fillId="44" borderId="79" xfId="0" applyFont="1" applyFill="1" applyBorder="1" applyAlignment="1">
      <alignment horizontal="center" vertical="center" wrapText="1"/>
    </xf>
    <xf numFmtId="0" fontId="142" fillId="44" borderId="80" xfId="0" applyFont="1" applyFill="1" applyBorder="1" applyAlignment="1">
      <alignment horizontal="center" vertical="center" wrapText="1"/>
    </xf>
    <xf numFmtId="0" fontId="146" fillId="44" borderId="39" xfId="0" applyFont="1" applyFill="1" applyBorder="1" applyAlignment="1" quotePrefix="1">
      <alignment horizontal="center" vertical="center" wrapText="1"/>
    </xf>
    <xf numFmtId="0" fontId="146" fillId="44" borderId="38" xfId="0" applyFont="1" applyFill="1" applyBorder="1" applyAlignment="1" quotePrefix="1">
      <alignment horizontal="center" vertical="center" wrapText="1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142" fillId="44" borderId="108" xfId="0" applyFont="1" applyFill="1" applyBorder="1" applyAlignment="1">
      <alignment horizontal="center" vertical="center" wrapText="1"/>
    </xf>
    <xf numFmtId="0" fontId="142" fillId="44" borderId="119" xfId="0" applyFont="1" applyFill="1" applyBorder="1" applyAlignment="1">
      <alignment horizontal="center" vertical="center"/>
    </xf>
    <xf numFmtId="0" fontId="142" fillId="44" borderId="77" xfId="0" applyFont="1" applyFill="1" applyBorder="1" applyAlignment="1">
      <alignment horizontal="center" vertical="center"/>
    </xf>
    <xf numFmtId="0" fontId="142" fillId="44" borderId="81" xfId="0" applyFont="1" applyFill="1" applyBorder="1" applyAlignment="1">
      <alignment horizontal="center" vertical="center"/>
    </xf>
    <xf numFmtId="0" fontId="142" fillId="44" borderId="143" xfId="0" applyFont="1" applyFill="1" applyBorder="1" applyAlignment="1">
      <alignment horizontal="center" vertical="center"/>
    </xf>
    <xf numFmtId="0" fontId="142" fillId="44" borderId="76" xfId="0" applyFont="1" applyFill="1" applyBorder="1" applyAlignment="1">
      <alignment horizontal="center" vertical="center"/>
    </xf>
    <xf numFmtId="0" fontId="153" fillId="44" borderId="82" xfId="0" applyFont="1" applyFill="1" applyBorder="1" applyAlignment="1">
      <alignment horizontal="center" vertical="center"/>
    </xf>
    <xf numFmtId="0" fontId="153" fillId="44" borderId="78" xfId="0" applyFont="1" applyFill="1" applyBorder="1" applyAlignment="1">
      <alignment horizontal="center" vertical="center"/>
    </xf>
    <xf numFmtId="0" fontId="142" fillId="44" borderId="0" xfId="0" applyFont="1" applyFill="1" applyBorder="1" applyAlignment="1">
      <alignment horizontal="center" vertical="center" wrapText="1"/>
    </xf>
    <xf numFmtId="0" fontId="142" fillId="44" borderId="0" xfId="0" applyFont="1" applyFill="1" applyBorder="1" applyAlignment="1">
      <alignment horizontal="center" vertical="center"/>
    </xf>
    <xf numFmtId="0" fontId="153" fillId="0" borderId="79" xfId="0" applyFont="1" applyBorder="1" applyAlignment="1">
      <alignment horizontal="center" vertical="center"/>
    </xf>
    <xf numFmtId="0" fontId="153" fillId="0" borderId="107" xfId="0" applyFont="1" applyBorder="1" applyAlignment="1">
      <alignment horizontal="center" vertical="center"/>
    </xf>
    <xf numFmtId="0" fontId="153" fillId="0" borderId="80" xfId="0" applyFont="1" applyBorder="1" applyAlignment="1">
      <alignment horizontal="center" vertical="center"/>
    </xf>
    <xf numFmtId="0" fontId="153" fillId="44" borderId="108" xfId="0" applyFont="1" applyFill="1" applyBorder="1" applyAlignment="1">
      <alignment horizontal="center" vertical="center"/>
    </xf>
    <xf numFmtId="0" fontId="153" fillId="44" borderId="119" xfId="0" applyFont="1" applyFill="1" applyBorder="1" applyAlignment="1">
      <alignment horizontal="center" vertical="center"/>
    </xf>
    <xf numFmtId="0" fontId="153" fillId="44" borderId="77" xfId="0" applyFont="1" applyFill="1" applyBorder="1" applyAlignment="1">
      <alignment horizontal="center" vertical="center"/>
    </xf>
    <xf numFmtId="0" fontId="168" fillId="44" borderId="79" xfId="0" applyFont="1" applyFill="1" applyBorder="1" applyAlignment="1">
      <alignment horizontal="center" vertical="center"/>
    </xf>
    <xf numFmtId="0" fontId="168" fillId="44" borderId="107" xfId="0" applyFont="1" applyFill="1" applyBorder="1" applyAlignment="1">
      <alignment horizontal="center" vertical="center"/>
    </xf>
    <xf numFmtId="0" fontId="168" fillId="44" borderId="80" xfId="0" applyFont="1" applyFill="1" applyBorder="1" applyAlignment="1">
      <alignment horizontal="center" vertical="center"/>
    </xf>
    <xf numFmtId="0" fontId="168" fillId="42" borderId="81" xfId="0" applyFont="1" applyFill="1" applyBorder="1" applyAlignment="1">
      <alignment horizontal="center" vertical="center"/>
    </xf>
    <xf numFmtId="0" fontId="168" fillId="42" borderId="108" xfId="0" applyFont="1" applyFill="1" applyBorder="1" applyAlignment="1">
      <alignment horizontal="center" vertical="center"/>
    </xf>
    <xf numFmtId="0" fontId="168" fillId="42" borderId="123" xfId="0" applyFont="1" applyFill="1" applyBorder="1" applyAlignment="1">
      <alignment horizontal="center" vertical="center"/>
    </xf>
    <xf numFmtId="0" fontId="146" fillId="44" borderId="0" xfId="0" applyFont="1" applyFill="1" applyBorder="1" applyAlignment="1">
      <alignment horizontal="left" vertical="top" wrapText="1"/>
    </xf>
    <xf numFmtId="0" fontId="146" fillId="44" borderId="0" xfId="0" applyFont="1" applyFill="1" applyBorder="1" applyAlignment="1">
      <alignment horizontal="left" vertical="top"/>
    </xf>
    <xf numFmtId="0" fontId="168" fillId="42" borderId="96" xfId="0" applyFont="1" applyFill="1" applyBorder="1" applyAlignment="1">
      <alignment horizontal="center" vertical="center"/>
    </xf>
    <xf numFmtId="0" fontId="168" fillId="42" borderId="115" xfId="0" applyFont="1" applyFill="1" applyBorder="1" applyAlignment="1">
      <alignment horizontal="center" vertical="center"/>
    </xf>
    <xf numFmtId="0" fontId="168" fillId="42" borderId="116" xfId="0" applyFont="1" applyFill="1" applyBorder="1" applyAlignment="1">
      <alignment horizontal="center" vertical="center"/>
    </xf>
    <xf numFmtId="0" fontId="142" fillId="44" borderId="66" xfId="0" applyFont="1" applyFill="1" applyBorder="1" applyAlignment="1">
      <alignment horizontal="center" vertical="center"/>
    </xf>
    <xf numFmtId="0" fontId="142" fillId="44" borderId="59" xfId="0" applyFont="1" applyFill="1" applyBorder="1" applyAlignment="1">
      <alignment horizontal="center" vertical="center"/>
    </xf>
    <xf numFmtId="0" fontId="142" fillId="44" borderId="74" xfId="0" applyFont="1" applyFill="1" applyBorder="1" applyAlignment="1">
      <alignment horizontal="center" vertical="center"/>
    </xf>
    <xf numFmtId="0" fontId="142" fillId="44" borderId="75" xfId="0" applyFont="1" applyFill="1" applyBorder="1" applyAlignment="1">
      <alignment horizontal="center" vertical="center"/>
    </xf>
    <xf numFmtId="0" fontId="168" fillId="44" borderId="96" xfId="0" applyFont="1" applyFill="1" applyBorder="1" applyAlignment="1">
      <alignment horizontal="center" vertical="center"/>
    </xf>
    <xf numFmtId="0" fontId="168" fillId="44" borderId="115" xfId="0" applyFont="1" applyFill="1" applyBorder="1" applyAlignment="1">
      <alignment horizontal="center" vertical="center"/>
    </xf>
    <xf numFmtId="0" fontId="168" fillId="44" borderId="116" xfId="0" applyFont="1" applyFill="1" applyBorder="1" applyAlignment="1">
      <alignment horizontal="center" vertical="center"/>
    </xf>
    <xf numFmtId="0" fontId="155" fillId="44" borderId="0" xfId="0" applyFont="1" applyFill="1" applyBorder="1" applyAlignment="1">
      <alignment horizontal="left" vertical="top" wrapText="1"/>
    </xf>
    <xf numFmtId="0" fontId="187" fillId="17" borderId="0" xfId="0" applyFont="1" applyFill="1" applyBorder="1" applyAlignment="1">
      <alignment horizontal="center" vertical="center" wrapText="1"/>
    </xf>
    <xf numFmtId="0" fontId="187" fillId="17" borderId="0" xfId="0" applyFont="1" applyFill="1" applyBorder="1" applyAlignment="1">
      <alignment horizontal="center" vertical="center"/>
    </xf>
    <xf numFmtId="0" fontId="55" fillId="35" borderId="144" xfId="0" applyFont="1" applyFill="1" applyBorder="1" applyAlignment="1">
      <alignment horizontal="left" vertical="center"/>
    </xf>
    <xf numFmtId="0" fontId="55" fillId="35" borderId="107" xfId="0" applyFont="1" applyFill="1" applyBorder="1" applyAlignment="1">
      <alignment horizontal="left" vertical="center"/>
    </xf>
    <xf numFmtId="0" fontId="55" fillId="35" borderId="8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52" xfId="0" applyFont="1" applyFill="1" applyBorder="1" applyAlignment="1">
      <alignment horizontal="left"/>
    </xf>
    <xf numFmtId="0" fontId="5" fillId="35" borderId="47" xfId="0" applyFont="1" applyFill="1" applyBorder="1" applyAlignment="1">
      <alignment horizontal="left" vertical="center" wrapText="1"/>
    </xf>
    <xf numFmtId="0" fontId="5" fillId="35" borderId="48" xfId="0" applyFont="1" applyFill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1" fillId="0" borderId="47" xfId="0" applyFont="1" applyBorder="1" applyAlignment="1" quotePrefix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5" fillId="35" borderId="93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5" borderId="22" xfId="0" applyFont="1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5" fillId="35" borderId="145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5" fillId="35" borderId="93" xfId="0" applyNumberFormat="1" applyFont="1" applyFill="1" applyBorder="1" applyAlignment="1" quotePrefix="1">
      <alignment horizontal="left"/>
    </xf>
    <xf numFmtId="49" fontId="5" fillId="35" borderId="52" xfId="0" applyNumberFormat="1" applyFont="1" applyFill="1" applyBorder="1" applyAlignment="1">
      <alignment horizontal="left"/>
    </xf>
    <xf numFmtId="0" fontId="5" fillId="0" borderId="5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5" borderId="146" xfId="0" applyFont="1" applyFill="1" applyBorder="1" applyAlignment="1">
      <alignment horizontal="left" vertical="top"/>
    </xf>
    <xf numFmtId="0" fontId="5" fillId="35" borderId="133" xfId="0" applyFont="1" applyFill="1" applyBorder="1" applyAlignment="1">
      <alignment horizontal="left" vertical="top"/>
    </xf>
    <xf numFmtId="0" fontId="5" fillId="35" borderId="11" xfId="0" applyFont="1" applyFill="1" applyBorder="1" applyAlignment="1" quotePrefix="1">
      <alignment horizontal="left"/>
    </xf>
    <xf numFmtId="0" fontId="5" fillId="35" borderId="0" xfId="0" applyFont="1" applyFill="1" applyBorder="1" applyAlignment="1" quotePrefix="1">
      <alignment horizontal="left"/>
    </xf>
    <xf numFmtId="0" fontId="5" fillId="35" borderId="52" xfId="0" applyFont="1" applyFill="1" applyBorder="1" applyAlignment="1" quotePrefix="1">
      <alignment horizontal="left"/>
    </xf>
    <xf numFmtId="0" fontId="5" fillId="0" borderId="47" xfId="0" applyFont="1" applyBorder="1" applyAlignment="1" quotePrefix="1">
      <alignment horizontal="left" vertical="center" wrapText="1"/>
    </xf>
    <xf numFmtId="0" fontId="5" fillId="35" borderId="54" xfId="0" applyFont="1" applyFill="1" applyBorder="1" applyAlignment="1">
      <alignment horizontal="left" vertical="top" wrapText="1"/>
    </xf>
    <xf numFmtId="0" fontId="5" fillId="35" borderId="17" xfId="0" applyFont="1" applyFill="1" applyBorder="1" applyAlignment="1">
      <alignment horizontal="left" vertical="top" wrapText="1"/>
    </xf>
    <xf numFmtId="0" fontId="5" fillId="35" borderId="133" xfId="0" applyFont="1" applyFill="1" applyBorder="1" applyAlignment="1">
      <alignment horizontal="left" vertical="top" wrapText="1"/>
    </xf>
    <xf numFmtId="0" fontId="5" fillId="0" borderId="5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88" fillId="0" borderId="147" xfId="0" applyFont="1" applyBorder="1" applyAlignment="1">
      <alignment horizontal="center" vertical="center" wrapText="1"/>
    </xf>
    <xf numFmtId="0" fontId="188" fillId="0" borderId="148" xfId="0" applyFont="1" applyBorder="1" applyAlignment="1">
      <alignment horizontal="center" vertical="center" wrapText="1"/>
    </xf>
    <xf numFmtId="0" fontId="188" fillId="0" borderId="14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7" fillId="35" borderId="13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7" fillId="0" borderId="151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52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53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5" fillId="0" borderId="153" xfId="0" applyFont="1" applyBorder="1" applyAlignment="1">
      <alignment horizontal="center" vertical="top" wrapText="1"/>
    </xf>
    <xf numFmtId="0" fontId="15" fillId="0" borderId="154" xfId="0" applyFont="1" applyBorder="1" applyAlignment="1">
      <alignment horizontal="center" vertical="top" wrapText="1"/>
    </xf>
    <xf numFmtId="0" fontId="15" fillId="0" borderId="155" xfId="0" applyFont="1" applyBorder="1" applyAlignment="1">
      <alignment horizontal="center" vertical="top" wrapText="1"/>
    </xf>
    <xf numFmtId="0" fontId="15" fillId="0" borderId="151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153" xfId="0" applyFont="1" applyBorder="1" applyAlignment="1">
      <alignment horizontal="justify" vertical="center" wrapText="1"/>
    </xf>
    <xf numFmtId="0" fontId="15" fillId="0" borderId="154" xfId="0" applyFont="1" applyBorder="1" applyAlignment="1">
      <alignment horizontal="justify" vertical="center" wrapText="1"/>
    </xf>
    <xf numFmtId="0" fontId="15" fillId="0" borderId="155" xfId="0" applyFont="1" applyBorder="1" applyAlignment="1">
      <alignment horizontal="justify" vertical="center" wrapText="1"/>
    </xf>
    <xf numFmtId="0" fontId="15" fillId="0" borderId="15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78" fontId="17" fillId="34" borderId="79" xfId="0" applyNumberFormat="1" applyFont="1" applyFill="1" applyBorder="1" applyAlignment="1">
      <alignment horizontal="center" vertical="center"/>
    </xf>
    <xf numFmtId="178" fontId="17" fillId="34" borderId="80" xfId="0" applyNumberFormat="1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7" fillId="34" borderId="79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178" fontId="17" fillId="0" borderId="79" xfId="0" applyNumberFormat="1" applyFont="1" applyBorder="1" applyAlignment="1">
      <alignment horizontal="center" vertical="center"/>
    </xf>
    <xf numFmtId="178" fontId="17" fillId="0" borderId="80" xfId="0" applyNumberFormat="1" applyFont="1" applyBorder="1" applyAlignment="1">
      <alignment horizontal="center" vertical="center"/>
    </xf>
    <xf numFmtId="0" fontId="15" fillId="0" borderId="156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151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5" fillId="0" borderId="156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2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9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3" fillId="0" borderId="152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13" fillId="0" borderId="156" xfId="0" applyFont="1" applyBorder="1" applyAlignment="1">
      <alignment horizontal="center" vertical="top" wrapText="1"/>
    </xf>
    <xf numFmtId="0" fontId="15" fillId="0" borderId="94" xfId="0" applyFont="1" applyBorder="1" applyAlignment="1">
      <alignment horizontal="left" vertical="center"/>
    </xf>
    <xf numFmtId="0" fontId="15" fillId="0" borderId="157" xfId="0" applyFont="1" applyBorder="1" applyAlignment="1">
      <alignment horizontal="left" vertical="center"/>
    </xf>
    <xf numFmtId="0" fontId="15" fillId="0" borderId="158" xfId="0" applyFont="1" applyBorder="1" applyAlignment="1">
      <alignment horizontal="left" vertical="center"/>
    </xf>
    <xf numFmtId="0" fontId="17" fillId="0" borderId="159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16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7" fillId="0" borderId="161" xfId="0" applyFont="1" applyBorder="1" applyAlignment="1">
      <alignment horizontal="left" vertical="center" wrapText="1"/>
    </xf>
    <xf numFmtId="0" fontId="17" fillId="0" borderId="105" xfId="0" applyFont="1" applyBorder="1" applyAlignment="1">
      <alignment horizontal="left" vertical="center" wrapText="1"/>
    </xf>
    <xf numFmtId="0" fontId="17" fillId="0" borderId="162" xfId="0" applyFont="1" applyBorder="1" applyAlignment="1">
      <alignment horizontal="left" vertical="center" wrapText="1"/>
    </xf>
    <xf numFmtId="0" fontId="25" fillId="0" borderId="161" xfId="0" applyFont="1" applyBorder="1" applyAlignment="1">
      <alignment horizontal="left" vertical="center"/>
    </xf>
    <xf numFmtId="0" fontId="25" fillId="0" borderId="105" xfId="0" applyFont="1" applyBorder="1" applyAlignment="1">
      <alignment horizontal="left" vertical="center"/>
    </xf>
    <xf numFmtId="0" fontId="25" fillId="0" borderId="162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5" fillId="0" borderId="163" xfId="0" applyFont="1" applyBorder="1" applyAlignment="1">
      <alignment horizontal="left" vertical="center"/>
    </xf>
    <xf numFmtId="0" fontId="25" fillId="0" borderId="159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160" xfId="0" applyFont="1" applyBorder="1" applyAlignment="1">
      <alignment horizontal="left" vertical="center"/>
    </xf>
    <xf numFmtId="0" fontId="25" fillId="0" borderId="161" xfId="0" applyFont="1" applyBorder="1" applyAlignment="1">
      <alignment horizontal="left" vertical="center" wrapText="1"/>
    </xf>
    <xf numFmtId="0" fontId="25" fillId="0" borderId="105" xfId="0" applyFont="1" applyBorder="1" applyAlignment="1">
      <alignment horizontal="left" vertical="center" wrapText="1"/>
    </xf>
    <xf numFmtId="0" fontId="25" fillId="0" borderId="162" xfId="0" applyFont="1" applyBorder="1" applyAlignment="1">
      <alignment horizontal="left" vertical="center" wrapText="1"/>
    </xf>
    <xf numFmtId="49" fontId="25" fillId="0" borderId="159" xfId="0" applyNumberFormat="1" applyFont="1" applyBorder="1" applyAlignment="1" quotePrefix="1">
      <alignment horizontal="left" vertical="center"/>
    </xf>
    <xf numFmtId="0" fontId="57" fillId="0" borderId="161" xfId="0" applyFont="1" applyBorder="1" applyAlignment="1">
      <alignment horizontal="left" vertical="center"/>
    </xf>
    <xf numFmtId="0" fontId="57" fillId="0" borderId="105" xfId="0" applyFont="1" applyBorder="1" applyAlignment="1">
      <alignment horizontal="left" vertical="center"/>
    </xf>
    <xf numFmtId="0" fontId="57" fillId="0" borderId="162" xfId="0" applyFont="1" applyBorder="1" applyAlignment="1">
      <alignment horizontal="left" vertical="center"/>
    </xf>
    <xf numFmtId="0" fontId="25" fillId="0" borderId="159" xfId="0" applyFont="1" applyBorder="1" applyAlignment="1" quotePrefix="1">
      <alignment horizontal="left" vertical="center"/>
    </xf>
  </cellXfs>
  <cellStyles count="51">
    <cellStyle name="Normal" xfId="0"/>
    <cellStyle name="20% - Aksen1" xfId="15"/>
    <cellStyle name="20% - Aksen2" xfId="16"/>
    <cellStyle name="20% - Aksen3" xfId="17"/>
    <cellStyle name="20% - Aksen4" xfId="18"/>
    <cellStyle name="20% - Aksen5" xfId="19"/>
    <cellStyle name="20% - Aksen6" xfId="20"/>
    <cellStyle name="40% - Aksen1" xfId="21"/>
    <cellStyle name="40% - Aksen2" xfId="22"/>
    <cellStyle name="40% - Aksen3" xfId="23"/>
    <cellStyle name="40% - Aksen4" xfId="24"/>
    <cellStyle name="40% - Aksen5" xfId="25"/>
    <cellStyle name="40% - Aksen6" xfId="26"/>
    <cellStyle name="60% - Aksen1" xfId="27"/>
    <cellStyle name="60% - Aksen2" xfId="28"/>
    <cellStyle name="60% - Aksen3" xfId="29"/>
    <cellStyle name="60% - Aksen4" xfId="30"/>
    <cellStyle name="60% - Aksen5" xfId="31"/>
    <cellStyle name="60% - Aksen6" xfId="32"/>
    <cellStyle name="Aksen1" xfId="33"/>
    <cellStyle name="Aksen2" xfId="34"/>
    <cellStyle name="Aksen3" xfId="35"/>
    <cellStyle name="Aksen4" xfId="36"/>
    <cellStyle name="Aksen5" xfId="37"/>
    <cellStyle name="Aksen6" xfId="38"/>
    <cellStyle name="Baik" xfId="39"/>
    <cellStyle name="Buruk" xfId="40"/>
    <cellStyle name="Catatan" xfId="41"/>
    <cellStyle name="Hyperlink" xfId="42"/>
    <cellStyle name="Judul" xfId="43"/>
    <cellStyle name="Judul 1" xfId="44"/>
    <cellStyle name="Judul 2" xfId="45"/>
    <cellStyle name="Judul 3" xfId="46"/>
    <cellStyle name="Judul 4" xfId="47"/>
    <cellStyle name="Keluaran" xfId="48"/>
    <cellStyle name="Comma" xfId="49"/>
    <cellStyle name="Comma [0]" xfId="50"/>
    <cellStyle name="Masukan" xfId="51"/>
    <cellStyle name="Currency" xfId="52"/>
    <cellStyle name="Currency [0]" xfId="53"/>
    <cellStyle name="Followed Hyperlink" xfId="54"/>
    <cellStyle name="Netral" xfId="55"/>
    <cellStyle name="Normal 2" xfId="56"/>
    <cellStyle name="Normal 3" xfId="57"/>
    <cellStyle name="Perhitungan" xfId="58"/>
    <cellStyle name="Percent" xfId="59"/>
    <cellStyle name="Sel Periksa" xfId="60"/>
    <cellStyle name="Sel Tertaut" xfId="61"/>
    <cellStyle name="Teks Penjelasan" xfId="62"/>
    <cellStyle name="Teks Peringatan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3543300</xdr:colOff>
      <xdr:row>0</xdr:row>
      <xdr:rowOff>28575</xdr:rowOff>
    </xdr:from>
    <xdr:to>
      <xdr:col>16</xdr:col>
      <xdr:colOff>76200</xdr:colOff>
      <xdr:row>5</xdr:row>
      <xdr:rowOff>238125</xdr:rowOff>
    </xdr:to>
    <xdr:grpSp>
      <xdr:nvGrpSpPr>
        <xdr:cNvPr id="1" name="Group 47"/>
        <xdr:cNvGrpSpPr>
          <a:grpSpLocks/>
        </xdr:cNvGrpSpPr>
      </xdr:nvGrpSpPr>
      <xdr:grpSpPr>
        <a:xfrm>
          <a:off x="8543925" y="28575"/>
          <a:ext cx="8020050" cy="1162050"/>
          <a:chOff x="9379324" y="840441"/>
          <a:chExt cx="6695233" cy="1264584"/>
        </a:xfrm>
        <a:solidFill>
          <a:srgbClr val="FFFFFF"/>
        </a:solidFill>
      </xdr:grpSpPr>
      <xdr:sp>
        <xdr:nvSpPr>
          <xdr:cNvPr id="2" name="Straight Arrow Connector 2"/>
          <xdr:cNvSpPr>
            <a:spLocks/>
          </xdr:cNvSpPr>
        </xdr:nvSpPr>
        <xdr:spPr>
          <a:xfrm flipH="1" flipV="1">
            <a:off x="9427864" y="840441"/>
            <a:ext cx="1303897" cy="632292"/>
          </a:xfrm>
          <a:prstGeom prst="straightConnector1">
            <a:avLst/>
          </a:prstGeom>
          <a:noFill/>
          <a:ln w="349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746825" y="1338055"/>
            <a:ext cx="5327732" cy="7669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CC99"/>
                </a:solidFill>
              </a:rPr>
              <a:t>INI</a:t>
            </a:r>
            <a:r>
              <a:rPr lang="en-US" cap="none" sz="1800" b="1" i="0" u="none" baseline="0">
                <a:solidFill>
                  <a:srgbClr val="FFCC99"/>
                </a:solidFill>
              </a:rPr>
              <a:t> HANYA CONTOH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SILAHKAN HAPUS DAN ISI BIDANG INI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DENGAN DATA YANG DIPERLUKAN</a:t>
            </a:r>
          </a:p>
        </xdr:txBody>
      </xdr:sp>
      <xdr:sp>
        <xdr:nvSpPr>
          <xdr:cNvPr id="4" name="Straight Arrow Connector 4"/>
          <xdr:cNvSpPr>
            <a:spLocks/>
          </xdr:cNvSpPr>
        </xdr:nvSpPr>
        <xdr:spPr>
          <a:xfrm flipH="1">
            <a:off x="9936702" y="1462300"/>
            <a:ext cx="850295" cy="259240"/>
          </a:xfrm>
          <a:prstGeom prst="straightConnector1">
            <a:avLst/>
          </a:prstGeom>
          <a:noFill/>
          <a:ln w="349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Arrow Connector 5"/>
          <xdr:cNvSpPr>
            <a:spLocks/>
          </xdr:cNvSpPr>
        </xdr:nvSpPr>
        <xdr:spPr>
          <a:xfrm flipH="1" flipV="1">
            <a:off x="9379324" y="1161645"/>
            <a:ext cx="1407673" cy="342070"/>
          </a:xfrm>
          <a:prstGeom prst="straightConnector1">
            <a:avLst/>
          </a:prstGeom>
          <a:noFill/>
          <a:ln w="349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9</xdr:row>
      <xdr:rowOff>209550</xdr:rowOff>
    </xdr:from>
    <xdr:to>
      <xdr:col>39</xdr:col>
      <xdr:colOff>333375</xdr:colOff>
      <xdr:row>13</xdr:row>
      <xdr:rowOff>219075</xdr:rowOff>
    </xdr:to>
    <xdr:grpSp>
      <xdr:nvGrpSpPr>
        <xdr:cNvPr id="1" name="Group 47"/>
        <xdr:cNvGrpSpPr>
          <a:grpSpLocks/>
        </xdr:cNvGrpSpPr>
      </xdr:nvGrpSpPr>
      <xdr:grpSpPr>
        <a:xfrm>
          <a:off x="11506200" y="3409950"/>
          <a:ext cx="8067675" cy="1266825"/>
          <a:chOff x="9379324" y="840441"/>
          <a:chExt cx="6695233" cy="1264584"/>
        </a:xfrm>
        <a:solidFill>
          <a:srgbClr val="FFFFFF"/>
        </a:solidFill>
      </xdr:grpSpPr>
      <xdr:sp>
        <xdr:nvSpPr>
          <xdr:cNvPr id="2" name="Straight Arrow Connector 16"/>
          <xdr:cNvSpPr>
            <a:spLocks/>
          </xdr:cNvSpPr>
        </xdr:nvSpPr>
        <xdr:spPr>
          <a:xfrm flipH="1" flipV="1">
            <a:off x="9426191" y="840441"/>
            <a:ext cx="1303897" cy="627550"/>
          </a:xfrm>
          <a:prstGeom prst="straightConnector1">
            <a:avLst/>
          </a:prstGeom>
          <a:noFill/>
          <a:ln w="349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7"/>
          <xdr:cNvSpPr>
            <a:spLocks/>
          </xdr:cNvSpPr>
        </xdr:nvSpPr>
        <xdr:spPr>
          <a:xfrm>
            <a:off x="10746825" y="1334893"/>
            <a:ext cx="5327732" cy="7701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CC99"/>
                </a:solidFill>
              </a:rPr>
              <a:t>INI</a:t>
            </a:r>
            <a:r>
              <a:rPr lang="en-US" cap="none" sz="1800" b="1" i="0" u="none" baseline="0">
                <a:solidFill>
                  <a:srgbClr val="FFCC99"/>
                </a:solidFill>
              </a:rPr>
              <a:t> HANYA CONTOH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SILAHKAN HAPUS DAN ISI BIDANG INI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DENGAN DATA YANG DIPERLUKAN</a:t>
            </a:r>
          </a:p>
        </xdr:txBody>
      </xdr:sp>
      <xdr:sp>
        <xdr:nvSpPr>
          <xdr:cNvPr id="4" name="Straight Arrow Connector 18"/>
          <xdr:cNvSpPr>
            <a:spLocks/>
          </xdr:cNvSpPr>
        </xdr:nvSpPr>
        <xdr:spPr>
          <a:xfrm flipH="1">
            <a:off x="9933355" y="1458506"/>
            <a:ext cx="853642" cy="266195"/>
          </a:xfrm>
          <a:prstGeom prst="straightConnector1">
            <a:avLst/>
          </a:prstGeom>
          <a:noFill/>
          <a:ln w="349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traight Arrow Connector 21"/>
          <xdr:cNvSpPr>
            <a:spLocks/>
          </xdr:cNvSpPr>
        </xdr:nvSpPr>
        <xdr:spPr>
          <a:xfrm flipH="1" flipV="1">
            <a:off x="9379324" y="1163858"/>
            <a:ext cx="1407673" cy="342386"/>
          </a:xfrm>
          <a:prstGeom prst="straightConnector1">
            <a:avLst/>
          </a:prstGeom>
          <a:noFill/>
          <a:ln w="3492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3</xdr:row>
      <xdr:rowOff>76200</xdr:rowOff>
    </xdr:from>
    <xdr:to>
      <xdr:col>20</xdr:col>
      <xdr:colOff>9525</xdr:colOff>
      <xdr:row>29</xdr:row>
      <xdr:rowOff>190500</xdr:rowOff>
    </xdr:to>
    <xdr:grpSp>
      <xdr:nvGrpSpPr>
        <xdr:cNvPr id="1" name="Group 4"/>
        <xdr:cNvGrpSpPr>
          <a:grpSpLocks/>
        </xdr:cNvGrpSpPr>
      </xdr:nvGrpSpPr>
      <xdr:grpSpPr>
        <a:xfrm>
          <a:off x="8582025" y="647700"/>
          <a:ext cx="4191000" cy="6038850"/>
          <a:chOff x="8688455" y="844826"/>
          <a:chExt cx="2343979" cy="670891"/>
        </a:xfrm>
        <a:solidFill>
          <a:srgbClr val="FFFFFF"/>
        </a:solidFill>
      </xdr:grpSpPr>
      <xdr:sp>
        <xdr:nvSpPr>
          <xdr:cNvPr id="2" name="Right Brace 5"/>
          <xdr:cNvSpPr>
            <a:spLocks/>
          </xdr:cNvSpPr>
        </xdr:nvSpPr>
        <xdr:spPr>
          <a:xfrm>
            <a:off x="8709551" y="844826"/>
            <a:ext cx="191620" cy="670891"/>
          </a:xfrm>
          <a:prstGeom prst="rightBrace">
            <a:avLst>
              <a:gd name="adj1" fmla="val -47615"/>
              <a:gd name="adj2" fmla="val 5754"/>
            </a:avLst>
          </a:prstGeom>
          <a:noFill/>
          <a:ln w="28575" cmpd="sng">
            <a:solidFill>
              <a:srgbClr val="953735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8688455" y="1020264"/>
            <a:ext cx="2343979" cy="4627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sng" baseline="0">
                <a:solidFill>
                  <a:srgbClr val="FFFFFF"/>
                </a:solidFill>
              </a:rPr>
              <a:t>JANGAN MENGISI APAPUN PADA AREA INI
</a:t>
            </a:r>
            <a:r>
              <a:rPr lang="en-US" cap="none" sz="1100" b="1" i="0" u="sng" baseline="0">
                <a:solidFill>
                  <a:srgbClr val="993300"/>
                </a:solidFill>
              </a:rPr>
              <a:t>
</a:t>
            </a:r>
            <a:r>
              <a:rPr lang="en-US" cap="none" sz="1100" b="1" i="0" u="none" baseline="0">
                <a:solidFill>
                  <a:srgbClr val="993300"/>
                </a:solidFill>
              </a:rPr>
              <a:t>UNTUK MENGISI SKP</a:t>
            </a:r>
            <a:r>
              <a:rPr lang="en-US" cap="none" sz="1100" b="1" i="0" u="none" baseline="0">
                <a:solidFill>
                  <a:srgbClr val="993300"/>
                </a:solidFill>
              </a:rPr>
              <a:t>, 
SILAHKAN GUNAKAN SARANA
PADA SHEET "PENCARIAN AK"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37</xdr:row>
      <xdr:rowOff>190500</xdr:rowOff>
    </xdr:from>
    <xdr:to>
      <xdr:col>30</xdr:col>
      <xdr:colOff>390525</xdr:colOff>
      <xdr:row>53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13554075" y="12077700"/>
          <a:ext cx="5724525" cy="6048375"/>
          <a:chOff x="8688455" y="844826"/>
          <a:chExt cx="2343979" cy="670891"/>
        </a:xfrm>
        <a:solidFill>
          <a:srgbClr val="FFFFFF"/>
        </a:solidFill>
      </xdr:grpSpPr>
      <xdr:sp>
        <xdr:nvSpPr>
          <xdr:cNvPr id="2" name="Right Brace 3"/>
          <xdr:cNvSpPr>
            <a:spLocks/>
          </xdr:cNvSpPr>
        </xdr:nvSpPr>
        <xdr:spPr>
          <a:xfrm>
            <a:off x="8707793" y="844826"/>
            <a:ext cx="195136" cy="670891"/>
          </a:xfrm>
          <a:prstGeom prst="rightBrace">
            <a:avLst>
              <a:gd name="adj1" fmla="val -47578"/>
              <a:gd name="adj2" fmla="val 5754"/>
            </a:avLst>
          </a:prstGeom>
          <a:noFill/>
          <a:ln w="28575" cmpd="sng">
            <a:solidFill>
              <a:srgbClr val="953735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8688455" y="1020264"/>
            <a:ext cx="2343979" cy="46274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1" i="0" u="sng" baseline="0">
                <a:solidFill>
                  <a:srgbClr val="FFFFFF"/>
                </a:solidFill>
              </a:rPr>
              <a:t>MOHON PERIKSA KEMBALI 
</a:t>
            </a:r>
            <a:r>
              <a:rPr lang="en-US" cap="none" sz="1800" b="1" i="0" u="sng" baseline="0">
                <a:solidFill>
                  <a:srgbClr val="FFFFFF"/>
                </a:solidFill>
              </a:rPr>
              <a:t>ISIAN PADA BIDANG INI
</a:t>
            </a:r>
            <a:r>
              <a:rPr lang="en-US" cap="none" sz="1800" b="1" i="0" u="sng" baseline="0">
                <a:solidFill>
                  <a:srgbClr val="FFFFFF"/>
                </a:solidFill>
              </a:rPr>
              <a:t>
</a:t>
            </a:r>
          </a:p>
        </xdr:txBody>
      </xdr:sp>
    </xdr:grpSp>
    <xdr:clientData/>
  </xdr:twoCellAnchor>
  <xdr:twoCellAnchor>
    <xdr:from>
      <xdr:col>14</xdr:col>
      <xdr:colOff>561975</xdr:colOff>
      <xdr:row>26</xdr:row>
      <xdr:rowOff>9525</xdr:rowOff>
    </xdr:from>
    <xdr:to>
      <xdr:col>16</xdr:col>
      <xdr:colOff>57150</xdr:colOff>
      <xdr:row>30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95250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1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3.00390625" style="0" customWidth="1"/>
    <col min="2" max="2" width="42.00390625" style="0" customWidth="1"/>
    <col min="3" max="3" width="53.421875" style="0" customWidth="1"/>
  </cols>
  <sheetData>
    <row r="1" spans="1:3" ht="15">
      <c r="A1" s="717" t="s">
        <v>3</v>
      </c>
      <c r="B1" s="717"/>
      <c r="C1" s="215" t="s">
        <v>380</v>
      </c>
    </row>
    <row r="2" spans="1:3" ht="15">
      <c r="A2" s="717" t="s">
        <v>371</v>
      </c>
      <c r="B2" s="717"/>
      <c r="C2" s="216" t="s">
        <v>381</v>
      </c>
    </row>
    <row r="3" spans="1:3" ht="15">
      <c r="A3" s="717" t="s">
        <v>288</v>
      </c>
      <c r="B3" s="717"/>
      <c r="C3" s="215" t="s">
        <v>384</v>
      </c>
    </row>
    <row r="4" spans="1:3" ht="15">
      <c r="A4" s="229" t="s">
        <v>289</v>
      </c>
      <c r="B4" s="229"/>
      <c r="C4" s="215" t="s">
        <v>382</v>
      </c>
    </row>
    <row r="5" spans="1:3" ht="15">
      <c r="A5" s="717" t="s">
        <v>237</v>
      </c>
      <c r="B5" s="717"/>
      <c r="C5" s="217" t="s">
        <v>356</v>
      </c>
    </row>
    <row r="6" spans="1:3" s="88" customFormat="1" ht="21" customHeight="1">
      <c r="A6" s="210" t="s">
        <v>238</v>
      </c>
      <c r="B6" s="211" t="s">
        <v>239</v>
      </c>
      <c r="C6" s="707" t="s">
        <v>357</v>
      </c>
    </row>
    <row r="7" spans="1:3" s="88" customFormat="1" ht="21" customHeight="1">
      <c r="A7" s="718" t="s">
        <v>240</v>
      </c>
      <c r="B7" s="211" t="s">
        <v>239</v>
      </c>
      <c r="C7" s="212" t="s">
        <v>358</v>
      </c>
    </row>
    <row r="8" spans="1:3" s="88" customFormat="1" ht="21" customHeight="1">
      <c r="A8" s="718"/>
      <c r="B8" s="211" t="s">
        <v>241</v>
      </c>
      <c r="C8" s="213" t="s">
        <v>359</v>
      </c>
    </row>
    <row r="9" spans="1:3" s="88" customFormat="1" ht="21" customHeight="1">
      <c r="A9" s="719" t="s">
        <v>242</v>
      </c>
      <c r="B9" s="211" t="s">
        <v>241</v>
      </c>
      <c r="C9" s="213" t="s">
        <v>359</v>
      </c>
    </row>
    <row r="10" spans="1:3" s="88" customFormat="1" ht="21" customHeight="1">
      <c r="A10" s="719"/>
      <c r="B10" s="718" t="s">
        <v>243</v>
      </c>
      <c r="C10" s="213" t="s">
        <v>367</v>
      </c>
    </row>
    <row r="11" spans="1:3" s="88" customFormat="1" ht="21" customHeight="1">
      <c r="A11" s="719"/>
      <c r="B11" s="718"/>
      <c r="C11" s="213" t="s">
        <v>383</v>
      </c>
    </row>
    <row r="12" spans="1:3" s="88" customFormat="1" ht="21" customHeight="1">
      <c r="A12" s="719"/>
      <c r="B12" s="211" t="s">
        <v>244</v>
      </c>
      <c r="C12" s="214" t="s">
        <v>360</v>
      </c>
    </row>
    <row r="13" spans="1:3" s="88" customFormat="1" ht="21" customHeight="1">
      <c r="A13" s="719"/>
      <c r="B13" s="211" t="s">
        <v>245</v>
      </c>
      <c r="C13" s="214" t="s">
        <v>372</v>
      </c>
    </row>
    <row r="14" spans="1:3" s="88" customFormat="1" ht="21" customHeight="1">
      <c r="A14" s="719"/>
      <c r="B14" s="211" t="s">
        <v>246</v>
      </c>
      <c r="C14" s="214" t="s">
        <v>361</v>
      </c>
    </row>
  </sheetData>
  <sheetProtection/>
  <mergeCells count="7">
    <mergeCell ref="A5:B5"/>
    <mergeCell ref="A3:B3"/>
    <mergeCell ref="A2:B2"/>
    <mergeCell ref="A1:B1"/>
    <mergeCell ref="A7:A8"/>
    <mergeCell ref="A9:A14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J332"/>
  <sheetViews>
    <sheetView view="pageBreakPreview" zoomScale="80" zoomScaleNormal="85" zoomScaleSheetLayoutView="80" workbookViewId="0" topLeftCell="A262">
      <selection activeCell="F14" sqref="F14"/>
    </sheetView>
  </sheetViews>
  <sheetFormatPr defaultColWidth="9.140625" defaultRowHeight="12.75"/>
  <cols>
    <col min="1" max="1" width="17.421875" style="414" customWidth="1"/>
    <col min="2" max="2" width="73.8515625" style="143" customWidth="1"/>
    <col min="3" max="4" width="18.00390625" style="143" customWidth="1"/>
    <col min="5" max="5" width="16.421875" style="143" customWidth="1"/>
    <col min="6" max="6" width="26.8515625" style="143" customWidth="1"/>
    <col min="7" max="7" width="15.57421875" style="143" customWidth="1"/>
    <col min="8" max="8" width="19.57421875" style="143" hidden="1" customWidth="1"/>
    <col min="9" max="9" width="10.421875" style="143" hidden="1" customWidth="1"/>
    <col min="10" max="10" width="12.140625" style="143" hidden="1" customWidth="1"/>
    <col min="11" max="11" width="30.7109375" style="143" hidden="1" customWidth="1"/>
    <col min="12" max="12" width="26.57421875" style="143" hidden="1" customWidth="1"/>
    <col min="13" max="13" width="5.8515625" style="143" hidden="1" customWidth="1"/>
    <col min="14" max="14" width="38.8515625" style="143" hidden="1" customWidth="1"/>
    <col min="15" max="15" width="7.57421875" style="143" hidden="1" customWidth="1"/>
    <col min="16" max="16" width="14.57421875" style="143" hidden="1" customWidth="1"/>
    <col min="17" max="30" width="9.140625" style="143" hidden="1" customWidth="1"/>
    <col min="31" max="31" width="21.00390625" style="218" customWidth="1"/>
    <col min="32" max="32" width="12.28125" style="143" customWidth="1"/>
    <col min="33" max="33" width="14.28125" style="143" customWidth="1"/>
    <col min="34" max="38" width="9.140625" style="143" customWidth="1"/>
    <col min="39" max="16384" width="9.140625" style="143" customWidth="1"/>
  </cols>
  <sheetData>
    <row r="1" spans="1:14" s="144" customFormat="1" ht="24.75" customHeight="1">
      <c r="A1" s="779" t="s">
        <v>355</v>
      </c>
      <c r="B1" s="780"/>
      <c r="C1" s="780"/>
      <c r="D1" s="780"/>
      <c r="E1" s="780"/>
      <c r="F1" s="780"/>
      <c r="G1" s="780"/>
      <c r="J1" s="184" t="e">
        <f>J11+J18+J25</f>
        <v>#REF!</v>
      </c>
      <c r="N1" s="146" t="s">
        <v>234</v>
      </c>
    </row>
    <row r="2" spans="1:14" s="144" customFormat="1" ht="113.25" customHeight="1" thickBot="1">
      <c r="A2" s="780"/>
      <c r="B2" s="780"/>
      <c r="C2" s="780"/>
      <c r="D2" s="780"/>
      <c r="E2" s="780"/>
      <c r="F2" s="780"/>
      <c r="G2" s="780"/>
      <c r="J2" s="184"/>
      <c r="N2" s="146"/>
    </row>
    <row r="3" spans="1:14" s="144" customFormat="1" ht="24.75" customHeight="1" hidden="1">
      <c r="A3" s="406"/>
      <c r="G3" s="183"/>
      <c r="J3" s="184"/>
      <c r="N3" s="146"/>
    </row>
    <row r="4" spans="1:14" s="144" customFormat="1" ht="24.75" customHeight="1" hidden="1">
      <c r="A4" s="406"/>
      <c r="G4" s="183"/>
      <c r="J4" s="184"/>
      <c r="N4" s="146"/>
    </row>
    <row r="5" spans="1:14" s="144" customFormat="1" ht="24.75" customHeight="1" hidden="1">
      <c r="A5" s="406"/>
      <c r="G5" s="183"/>
      <c r="J5" s="184"/>
      <c r="N5" s="146"/>
    </row>
    <row r="6" spans="1:14" s="144" customFormat="1" ht="24.75" customHeight="1" hidden="1" thickBot="1">
      <c r="A6" s="406"/>
      <c r="B6" s="185"/>
      <c r="C6" s="183"/>
      <c r="D6" s="183"/>
      <c r="E6" s="183"/>
      <c r="F6" s="183"/>
      <c r="G6" s="183"/>
      <c r="J6" s="184"/>
      <c r="N6" s="146"/>
    </row>
    <row r="7" spans="1:14" s="144" customFormat="1" ht="64.5" customHeight="1" thickBot="1">
      <c r="A7" s="407"/>
      <c r="B7" s="382" t="s">
        <v>291</v>
      </c>
      <c r="C7" s="781">
        <v>2019</v>
      </c>
      <c r="D7" s="782"/>
      <c r="E7" s="782"/>
      <c r="F7" s="783"/>
      <c r="G7" s="236"/>
      <c r="J7" s="184"/>
      <c r="N7" s="146"/>
    </row>
    <row r="8" spans="1:18" s="144" customFormat="1" ht="24.75" customHeight="1" thickBot="1">
      <c r="A8" s="407"/>
      <c r="B8" s="232" t="str">
        <f>CONCATENATE("Semester Genap ",C7-1,"/",C7)</f>
        <v>Semester Genap 2018/2019</v>
      </c>
      <c r="C8" s="720" t="str">
        <f>CONCATENATE("Semester Gasal ",C7,"/",C7+1)</f>
        <v>Semester Gasal 2019/2020</v>
      </c>
      <c r="D8" s="720"/>
      <c r="E8" s="720"/>
      <c r="F8" s="721"/>
      <c r="G8" s="236"/>
      <c r="H8" s="733" t="s">
        <v>233</v>
      </c>
      <c r="I8" s="733"/>
      <c r="J8" s="733"/>
      <c r="K8" s="733"/>
      <c r="P8" s="151">
        <v>12</v>
      </c>
      <c r="Q8" s="151">
        <v>14</v>
      </c>
      <c r="R8" s="151">
        <v>16</v>
      </c>
    </row>
    <row r="9" spans="1:18" s="144" customFormat="1" ht="24.75" customHeight="1" thickBot="1">
      <c r="A9" s="407"/>
      <c r="B9" s="233"/>
      <c r="C9" s="206"/>
      <c r="D9" s="207"/>
      <c r="E9" s="208"/>
      <c r="F9" s="230"/>
      <c r="G9" s="236"/>
      <c r="H9" s="186"/>
      <c r="I9" s="186"/>
      <c r="J9" s="186"/>
      <c r="K9" s="186"/>
      <c r="P9" s="151"/>
      <c r="Q9" s="151"/>
      <c r="R9" s="151"/>
    </row>
    <row r="10" spans="1:18" s="144" customFormat="1" ht="24.75" customHeight="1">
      <c r="A10" s="407"/>
      <c r="B10" s="235" t="s">
        <v>232</v>
      </c>
      <c r="C10" s="190" t="s">
        <v>270</v>
      </c>
      <c r="D10" s="238"/>
      <c r="E10" s="239" t="s">
        <v>230</v>
      </c>
      <c r="F10" s="231">
        <v>150</v>
      </c>
      <c r="G10" s="236"/>
      <c r="I10" s="145" t="s">
        <v>218</v>
      </c>
      <c r="J10" s="145" t="s">
        <v>20</v>
      </c>
      <c r="K10" s="145" t="s">
        <v>217</v>
      </c>
      <c r="N10" s="181"/>
      <c r="O10" s="180"/>
      <c r="P10" s="730" t="s">
        <v>212</v>
      </c>
      <c r="Q10" s="730"/>
      <c r="R10" s="731"/>
    </row>
    <row r="11" spans="1:18" s="144" customFormat="1" ht="24.75" customHeight="1">
      <c r="A11" s="407"/>
      <c r="B11" s="235" t="s">
        <v>231</v>
      </c>
      <c r="C11" s="190" t="s">
        <v>378</v>
      </c>
      <c r="D11" s="238"/>
      <c r="E11" s="239" t="s">
        <v>230</v>
      </c>
      <c r="F11" s="231">
        <v>300</v>
      </c>
      <c r="G11" s="236"/>
      <c r="H11" s="144" t="s">
        <v>229</v>
      </c>
      <c r="I11" s="150" t="e">
        <f>I32+I34+I33+I91+I156</f>
        <v>#REF!</v>
      </c>
      <c r="J11" s="145">
        <f>G65+F91+F124+C156</f>
        <v>5</v>
      </c>
      <c r="K11" s="144" t="s">
        <v>228</v>
      </c>
      <c r="N11" s="179" t="s">
        <v>210</v>
      </c>
      <c r="O11" s="178" t="s">
        <v>227</v>
      </c>
      <c r="P11" s="149">
        <f>0.45*$P$8</f>
        <v>5.4</v>
      </c>
      <c r="Q11" s="149">
        <f>0.45*Q8</f>
        <v>6.3</v>
      </c>
      <c r="R11" s="176">
        <f>0.45*R8</f>
        <v>7.2</v>
      </c>
    </row>
    <row r="12" spans="1:18" s="144" customFormat="1" ht="24.75" customHeight="1">
      <c r="A12" s="407"/>
      <c r="B12" s="235" t="s">
        <v>226</v>
      </c>
      <c r="C12" s="238"/>
      <c r="D12" s="238"/>
      <c r="E12" s="239" t="s">
        <v>208</v>
      </c>
      <c r="F12" s="241">
        <f>F11-F10</f>
        <v>150</v>
      </c>
      <c r="G12" s="236"/>
      <c r="K12" s="144" t="s">
        <v>225</v>
      </c>
      <c r="N12" s="157" t="s">
        <v>206</v>
      </c>
      <c r="O12" s="177" t="s">
        <v>224</v>
      </c>
      <c r="P12" s="149">
        <f>0.35*P8</f>
        <v>4.199999999999999</v>
      </c>
      <c r="Q12" s="149">
        <f>0.35*Q8</f>
        <v>4.8999999999999995</v>
      </c>
      <c r="R12" s="176">
        <f>0.35*R8</f>
        <v>5.6</v>
      </c>
    </row>
    <row r="13" spans="1:18" s="144" customFormat="1" ht="24.75" customHeight="1">
      <c r="A13" s="407"/>
      <c r="B13" s="235" t="s">
        <v>223</v>
      </c>
      <c r="C13" s="238"/>
      <c r="D13" s="238"/>
      <c r="E13" s="239" t="s">
        <v>208</v>
      </c>
      <c r="F13" s="231">
        <v>2</v>
      </c>
      <c r="G13" s="257" t="s">
        <v>271</v>
      </c>
      <c r="K13" s="144" t="s">
        <v>222</v>
      </c>
      <c r="N13" s="157" t="s">
        <v>204</v>
      </c>
      <c r="O13" s="177" t="s">
        <v>202</v>
      </c>
      <c r="P13" s="149">
        <f>0.1*P8</f>
        <v>1.2000000000000002</v>
      </c>
      <c r="Q13" s="149">
        <f>0.1*Q8</f>
        <v>1.4000000000000001</v>
      </c>
      <c r="R13" s="176">
        <f>0.1*R8</f>
        <v>1.6</v>
      </c>
    </row>
    <row r="14" spans="1:18" s="144" customFormat="1" ht="24.75" customHeight="1">
      <c r="A14" s="407"/>
      <c r="B14" s="235"/>
      <c r="C14" s="238"/>
      <c r="D14" s="238"/>
      <c r="E14" s="239"/>
      <c r="F14" s="241"/>
      <c r="G14" s="236"/>
      <c r="K14" s="144" t="s">
        <v>221</v>
      </c>
      <c r="N14" s="157" t="s">
        <v>203</v>
      </c>
      <c r="O14" s="177" t="s">
        <v>202</v>
      </c>
      <c r="P14" s="149">
        <f>0.1*P8</f>
        <v>1.2000000000000002</v>
      </c>
      <c r="Q14" s="149">
        <f>0.1*Q8</f>
        <v>1.4000000000000001</v>
      </c>
      <c r="R14" s="176">
        <f>0.1*R8</f>
        <v>1.6</v>
      </c>
    </row>
    <row r="15" spans="1:18" s="144" customFormat="1" ht="24.75" customHeight="1" thickBot="1">
      <c r="A15" s="407"/>
      <c r="B15" s="235" t="s">
        <v>220</v>
      </c>
      <c r="C15" s="238"/>
      <c r="D15" s="238"/>
      <c r="E15" s="239" t="s">
        <v>208</v>
      </c>
      <c r="F15" s="242">
        <f>F12/F13</f>
        <v>75</v>
      </c>
      <c r="G15" s="236"/>
      <c r="N15" s="156" t="s">
        <v>41</v>
      </c>
      <c r="O15" s="174"/>
      <c r="P15" s="173">
        <f>SUM(P11:P14)</f>
        <v>12</v>
      </c>
      <c r="Q15" s="173">
        <f>SUM(Q11:Q14)</f>
        <v>14</v>
      </c>
      <c r="R15" s="172">
        <f>SUM(R11:R14)</f>
        <v>16</v>
      </c>
    </row>
    <row r="16" spans="1:11" s="144" customFormat="1" ht="24.75" customHeight="1">
      <c r="A16" s="407"/>
      <c r="B16" s="234"/>
      <c r="C16" s="236"/>
      <c r="D16" s="238"/>
      <c r="E16" s="237"/>
      <c r="F16" s="240"/>
      <c r="G16" s="236"/>
      <c r="H16" s="732" t="s">
        <v>219</v>
      </c>
      <c r="I16" s="732"/>
      <c r="J16" s="732"/>
      <c r="K16" s="732"/>
    </row>
    <row r="17" spans="1:14" s="144" customFormat="1" ht="24.75" customHeight="1" hidden="1">
      <c r="A17" s="408"/>
      <c r="B17" s="234"/>
      <c r="C17" s="236"/>
      <c r="D17" s="236"/>
      <c r="E17" s="237"/>
      <c r="F17" s="240"/>
      <c r="G17" s="252"/>
      <c r="I17" s="145" t="s">
        <v>218</v>
      </c>
      <c r="J17" s="145" t="s">
        <v>20</v>
      </c>
      <c r="K17" s="145" t="s">
        <v>217</v>
      </c>
      <c r="N17" s="146" t="s">
        <v>216</v>
      </c>
    </row>
    <row r="18" spans="1:18" s="144" customFormat="1" ht="24.75" customHeight="1" hidden="1" thickBot="1">
      <c r="A18" s="408"/>
      <c r="B18" s="234"/>
      <c r="C18" s="236"/>
      <c r="D18" s="236"/>
      <c r="E18" s="237"/>
      <c r="F18" s="240"/>
      <c r="G18" s="252"/>
      <c r="H18" s="144" t="s">
        <v>215</v>
      </c>
      <c r="I18" s="182" t="e">
        <f>I49+I54+I55+I73+#REF!+I169+#REF!</f>
        <v>#REF!</v>
      </c>
      <c r="J18" s="145" t="e">
        <f>G66+E75+#REF!+G129+#REF!</f>
        <v>#REF!</v>
      </c>
      <c r="K18" s="144" t="s">
        <v>214</v>
      </c>
      <c r="P18" s="151">
        <v>12</v>
      </c>
      <c r="Q18" s="151">
        <v>14</v>
      </c>
      <c r="R18" s="151">
        <v>16</v>
      </c>
    </row>
    <row r="19" spans="1:18" s="144" customFormat="1" ht="24.75" customHeight="1" hidden="1">
      <c r="A19" s="408"/>
      <c r="B19" s="234"/>
      <c r="C19" s="236"/>
      <c r="D19" s="236"/>
      <c r="E19" s="237"/>
      <c r="F19" s="240"/>
      <c r="G19" s="252"/>
      <c r="K19" s="144" t="s">
        <v>213</v>
      </c>
      <c r="N19" s="181"/>
      <c r="O19" s="180"/>
      <c r="P19" s="730" t="s">
        <v>212</v>
      </c>
      <c r="Q19" s="730"/>
      <c r="R19" s="731"/>
    </row>
    <row r="20" spans="1:18" s="144" customFormat="1" ht="24.75" customHeight="1" hidden="1">
      <c r="A20" s="408"/>
      <c r="B20" s="234"/>
      <c r="C20" s="243"/>
      <c r="D20" s="236"/>
      <c r="E20" s="237"/>
      <c r="F20" s="240"/>
      <c r="G20" s="252"/>
      <c r="K20" s="144" t="s">
        <v>211</v>
      </c>
      <c r="N20" s="179" t="s">
        <v>210</v>
      </c>
      <c r="O20" s="178" t="s">
        <v>205</v>
      </c>
      <c r="P20" s="149">
        <f>0.4*$P$8</f>
        <v>4.800000000000001</v>
      </c>
      <c r="Q20" s="149">
        <f>0.4*Q18</f>
        <v>5.6000000000000005</v>
      </c>
      <c r="R20" s="176">
        <f>0.4*R18</f>
        <v>6.4</v>
      </c>
    </row>
    <row r="21" spans="1:18" s="144" customFormat="1" ht="24.75" customHeight="1" thickBot="1">
      <c r="A21" s="408"/>
      <c r="B21" s="246" t="s">
        <v>209</v>
      </c>
      <c r="C21" s="244"/>
      <c r="D21" s="244"/>
      <c r="E21" s="245" t="s">
        <v>208</v>
      </c>
      <c r="F21" s="711">
        <f>SKP!F30</f>
        <v>0</v>
      </c>
      <c r="G21" s="252"/>
      <c r="I21" s="145"/>
      <c r="K21" s="144" t="s">
        <v>207</v>
      </c>
      <c r="N21" s="157" t="s">
        <v>206</v>
      </c>
      <c r="O21" s="177" t="s">
        <v>205</v>
      </c>
      <c r="P21" s="149">
        <f>0.4*P18</f>
        <v>4.800000000000001</v>
      </c>
      <c r="Q21" s="149">
        <f>0.4*Q18</f>
        <v>5.6000000000000005</v>
      </c>
      <c r="R21" s="176">
        <f>0.4*R18</f>
        <v>6.4</v>
      </c>
    </row>
    <row r="22" spans="1:18" s="144" customFormat="1" ht="24.75" customHeight="1">
      <c r="A22" s="380"/>
      <c r="N22" s="157" t="s">
        <v>204</v>
      </c>
      <c r="O22" s="177" t="s">
        <v>202</v>
      </c>
      <c r="P22" s="149">
        <f>0.1*P18</f>
        <v>1.2000000000000002</v>
      </c>
      <c r="Q22" s="149">
        <f>0.1*Q18</f>
        <v>1.4000000000000001</v>
      </c>
      <c r="R22" s="176">
        <f>0.1*R18</f>
        <v>1.6</v>
      </c>
    </row>
    <row r="23" spans="1:18" s="144" customFormat="1" ht="24.75" customHeight="1" hidden="1">
      <c r="A23" s="380"/>
      <c r="N23" s="157" t="s">
        <v>203</v>
      </c>
      <c r="O23" s="177" t="s">
        <v>202</v>
      </c>
      <c r="P23" s="149">
        <f>0.1*P18</f>
        <v>1.2000000000000002</v>
      </c>
      <c r="Q23" s="149">
        <f>0.1*Q18</f>
        <v>1.4000000000000001</v>
      </c>
      <c r="R23" s="176">
        <f>0.1*R18</f>
        <v>1.6</v>
      </c>
    </row>
    <row r="24" spans="1:18" s="144" customFormat="1" ht="24.75" customHeight="1" hidden="1" thickBot="1">
      <c r="A24" s="380"/>
      <c r="H24" s="175"/>
      <c r="I24" s="175"/>
      <c r="J24" s="175"/>
      <c r="K24" s="175"/>
      <c r="N24" s="156" t="s">
        <v>41</v>
      </c>
      <c r="O24" s="174"/>
      <c r="P24" s="173">
        <f>SUM(P20:P23)</f>
        <v>12</v>
      </c>
      <c r="Q24" s="173">
        <f>SUM(Q20:Q23)</f>
        <v>14.000000000000002</v>
      </c>
      <c r="R24" s="172">
        <f>SUM(R20:R23)</f>
        <v>16</v>
      </c>
    </row>
    <row r="25" spans="1:11" s="144" customFormat="1" ht="24.75" customHeight="1" hidden="1">
      <c r="A25" s="409"/>
      <c r="B25" s="260"/>
      <c r="C25" s="260"/>
      <c r="D25" s="260"/>
      <c r="E25" s="260"/>
      <c r="F25" s="260"/>
      <c r="G25" s="260"/>
      <c r="H25" s="260"/>
      <c r="I25" s="260"/>
      <c r="J25" s="261">
        <f>SUM(J26:J27)</f>
        <v>2</v>
      </c>
      <c r="K25" s="260"/>
    </row>
    <row r="26" spans="1:11" s="144" customFormat="1" ht="24.75" customHeight="1" hidden="1">
      <c r="A26" s="409"/>
      <c r="B26" s="260"/>
      <c r="C26" s="260"/>
      <c r="D26" s="260"/>
      <c r="E26" s="260"/>
      <c r="F26" s="260"/>
      <c r="G26" s="260"/>
      <c r="H26" s="260"/>
      <c r="I26" s="260" t="s">
        <v>201</v>
      </c>
      <c r="J26" s="261">
        <v>1</v>
      </c>
      <c r="K26" s="260" t="s">
        <v>200</v>
      </c>
    </row>
    <row r="27" spans="1:11" s="144" customFormat="1" ht="24.75" customHeight="1" hidden="1">
      <c r="A27" s="409"/>
      <c r="B27" s="260"/>
      <c r="C27" s="260"/>
      <c r="D27" s="260"/>
      <c r="E27" s="260"/>
      <c r="F27" s="260"/>
      <c r="G27" s="260"/>
      <c r="H27" s="260"/>
      <c r="I27" s="260" t="s">
        <v>199</v>
      </c>
      <c r="J27" s="261">
        <v>1</v>
      </c>
      <c r="K27" s="260" t="s">
        <v>198</v>
      </c>
    </row>
    <row r="28" spans="1:11" s="144" customFormat="1" ht="24.75" customHeight="1">
      <c r="A28" s="734" t="s">
        <v>76</v>
      </c>
      <c r="B28" s="734"/>
      <c r="C28" s="734"/>
      <c r="D28" s="734"/>
      <c r="E28" s="734"/>
      <c r="F28" s="734"/>
      <c r="G28" s="734"/>
      <c r="H28" s="260"/>
      <c r="I28" s="260" t="s">
        <v>197</v>
      </c>
      <c r="J28" s="260"/>
      <c r="K28" s="260" t="s">
        <v>196</v>
      </c>
    </row>
    <row r="29" spans="1:11" s="144" customFormat="1" ht="24.75" customHeight="1">
      <c r="A29" s="312">
        <v>1</v>
      </c>
      <c r="B29" s="313" t="s">
        <v>282</v>
      </c>
      <c r="C29" s="314"/>
      <c r="D29" s="314"/>
      <c r="E29" s="314"/>
      <c r="F29" s="314"/>
      <c r="G29" s="315"/>
      <c r="H29" s="260"/>
      <c r="I29" s="260"/>
      <c r="J29" s="260"/>
      <c r="K29" s="260"/>
    </row>
    <row r="30" spans="1:11" s="144" customFormat="1" ht="24.75" customHeight="1" thickBot="1">
      <c r="A30" s="410"/>
      <c r="B30" s="264" t="str">
        <f>B8</f>
        <v>Semester Genap 2018/2019</v>
      </c>
      <c r="C30" s="262"/>
      <c r="D30" s="262"/>
      <c r="E30" s="262"/>
      <c r="F30" s="262"/>
      <c r="G30" s="262"/>
      <c r="H30" s="260"/>
      <c r="I30" s="260"/>
      <c r="J30" s="260"/>
      <c r="K30" s="260"/>
    </row>
    <row r="31" spans="1:11" s="144" customFormat="1" ht="49.5" customHeight="1">
      <c r="A31" s="410"/>
      <c r="B31" s="265" t="s">
        <v>195</v>
      </c>
      <c r="C31" s="266" t="s">
        <v>184</v>
      </c>
      <c r="D31" s="266" t="s">
        <v>194</v>
      </c>
      <c r="E31" s="266" t="s">
        <v>193</v>
      </c>
      <c r="F31" s="267" t="s">
        <v>272</v>
      </c>
      <c r="G31" s="268"/>
      <c r="H31" s="269"/>
      <c r="I31" s="269"/>
      <c r="J31" s="269"/>
      <c r="K31" s="269"/>
    </row>
    <row r="32" spans="1:11" s="144" customFormat="1" ht="30" customHeight="1">
      <c r="A32" s="410"/>
      <c r="B32" s="270" t="s">
        <v>181</v>
      </c>
      <c r="C32" s="271" t="s">
        <v>180</v>
      </c>
      <c r="D32" s="271" t="s">
        <v>179</v>
      </c>
      <c r="E32" s="271" t="s">
        <v>191</v>
      </c>
      <c r="F32" s="272" t="s">
        <v>190</v>
      </c>
      <c r="G32" s="268"/>
      <c r="H32" s="260" t="s">
        <v>189</v>
      </c>
      <c r="I32" s="273">
        <f>F43*1</f>
        <v>0</v>
      </c>
      <c r="J32" s="274" t="s">
        <v>140</v>
      </c>
      <c r="K32" s="274"/>
    </row>
    <row r="33" spans="1:31" s="144" customFormat="1" ht="24.75" customHeight="1">
      <c r="A33" s="410"/>
      <c r="B33" s="275" t="s">
        <v>347</v>
      </c>
      <c r="C33" s="276"/>
      <c r="D33" s="276"/>
      <c r="E33" s="276"/>
      <c r="F33" s="277">
        <f aca="true" t="shared" si="0" ref="F33:F42">IF(C33=0,0,(C33*D33)/E33)</f>
        <v>0</v>
      </c>
      <c r="G33" s="268"/>
      <c r="H33" s="260" t="s">
        <v>188</v>
      </c>
      <c r="I33" s="273">
        <f>F43*1</f>
        <v>0</v>
      </c>
      <c r="J33" s="274" t="s">
        <v>140</v>
      </c>
      <c r="K33" s="274"/>
      <c r="AE33" s="295">
        <f>IF(D33&gt;=1,1,0)</f>
        <v>0</v>
      </c>
    </row>
    <row r="34" spans="1:31" s="144" customFormat="1" ht="24.75" customHeight="1">
      <c r="A34" s="410"/>
      <c r="B34" s="275"/>
      <c r="C34" s="276"/>
      <c r="D34" s="276"/>
      <c r="E34" s="276"/>
      <c r="F34" s="277">
        <f t="shared" si="0"/>
        <v>0</v>
      </c>
      <c r="G34" s="268"/>
      <c r="H34" s="260" t="s">
        <v>187</v>
      </c>
      <c r="I34" s="273">
        <f>F43*1</f>
        <v>0</v>
      </c>
      <c r="J34" s="274" t="s">
        <v>140</v>
      </c>
      <c r="K34" s="274"/>
      <c r="AE34" s="295">
        <f aca="true" t="shared" si="1" ref="AE34:AE42">IF(D34&gt;=1,1,0)</f>
        <v>0</v>
      </c>
    </row>
    <row r="35" spans="1:31" s="144" customFormat="1" ht="24.75" customHeight="1">
      <c r="A35" s="410"/>
      <c r="B35" s="275"/>
      <c r="C35" s="276"/>
      <c r="D35" s="276"/>
      <c r="E35" s="276"/>
      <c r="F35" s="277">
        <f t="shared" si="0"/>
        <v>0</v>
      </c>
      <c r="G35" s="268"/>
      <c r="H35" s="260"/>
      <c r="I35" s="260"/>
      <c r="J35" s="260"/>
      <c r="K35" s="260"/>
      <c r="AE35" s="295">
        <f t="shared" si="1"/>
        <v>0</v>
      </c>
    </row>
    <row r="36" spans="1:31" s="144" customFormat="1" ht="24.75" customHeight="1">
      <c r="A36" s="410"/>
      <c r="B36" s="275"/>
      <c r="C36" s="276"/>
      <c r="D36" s="276"/>
      <c r="E36" s="276"/>
      <c r="F36" s="277">
        <f t="shared" si="0"/>
        <v>0</v>
      </c>
      <c r="G36" s="268"/>
      <c r="H36" s="260"/>
      <c r="I36" s="260"/>
      <c r="J36" s="260"/>
      <c r="K36" s="260"/>
      <c r="AE36" s="295">
        <f t="shared" si="1"/>
        <v>0</v>
      </c>
    </row>
    <row r="37" spans="1:31" s="144" customFormat="1" ht="24.75" customHeight="1">
      <c r="A37" s="410"/>
      <c r="B37" s="275"/>
      <c r="C37" s="276"/>
      <c r="D37" s="276"/>
      <c r="E37" s="276"/>
      <c r="F37" s="277">
        <f t="shared" si="0"/>
        <v>0</v>
      </c>
      <c r="G37" s="268"/>
      <c r="H37" s="260"/>
      <c r="I37" s="260"/>
      <c r="J37" s="260"/>
      <c r="K37" s="260"/>
      <c r="AE37" s="295">
        <f t="shared" si="1"/>
        <v>0</v>
      </c>
    </row>
    <row r="38" spans="1:31" s="144" customFormat="1" ht="24.75" customHeight="1">
      <c r="A38" s="410"/>
      <c r="B38" s="275"/>
      <c r="C38" s="276"/>
      <c r="D38" s="276"/>
      <c r="E38" s="276"/>
      <c r="F38" s="277">
        <f t="shared" si="0"/>
        <v>0</v>
      </c>
      <c r="G38" s="268"/>
      <c r="H38" s="260"/>
      <c r="I38" s="260"/>
      <c r="J38" s="260"/>
      <c r="K38" s="260"/>
      <c r="AE38" s="295">
        <f t="shared" si="1"/>
        <v>0</v>
      </c>
    </row>
    <row r="39" spans="1:31" s="144" customFormat="1" ht="24.75" customHeight="1">
      <c r="A39" s="410"/>
      <c r="B39" s="275"/>
      <c r="C39" s="276"/>
      <c r="D39" s="276"/>
      <c r="E39" s="276"/>
      <c r="F39" s="277">
        <f>IF(C39=0,0,(C39*D39)/E39)</f>
        <v>0</v>
      </c>
      <c r="G39" s="268"/>
      <c r="H39" s="260"/>
      <c r="I39" s="260"/>
      <c r="J39" s="260"/>
      <c r="K39" s="260"/>
      <c r="AE39" s="295">
        <f>IF(D39&gt;=1,1,0)</f>
        <v>0</v>
      </c>
    </row>
    <row r="40" spans="1:31" s="144" customFormat="1" ht="24.75" customHeight="1">
      <c r="A40" s="410"/>
      <c r="B40" s="275"/>
      <c r="C40" s="276"/>
      <c r="D40" s="276"/>
      <c r="E40" s="276"/>
      <c r="F40" s="277">
        <f t="shared" si="0"/>
        <v>0</v>
      </c>
      <c r="G40" s="268"/>
      <c r="H40" s="260"/>
      <c r="I40" s="260"/>
      <c r="J40" s="260"/>
      <c r="K40" s="260"/>
      <c r="AE40" s="295">
        <f t="shared" si="1"/>
        <v>0</v>
      </c>
    </row>
    <row r="41" spans="1:31" s="144" customFormat="1" ht="24.75" customHeight="1">
      <c r="A41" s="410"/>
      <c r="B41" s="275"/>
      <c r="C41" s="276"/>
      <c r="D41" s="276"/>
      <c r="E41" s="276"/>
      <c r="F41" s="277">
        <f t="shared" si="0"/>
        <v>0</v>
      </c>
      <c r="G41" s="268"/>
      <c r="H41" s="260"/>
      <c r="I41" s="260"/>
      <c r="J41" s="260"/>
      <c r="K41" s="260"/>
      <c r="AE41" s="295">
        <f t="shared" si="1"/>
        <v>0</v>
      </c>
    </row>
    <row r="42" spans="1:31" s="144" customFormat="1" ht="24.75" customHeight="1">
      <c r="A42" s="410"/>
      <c r="B42" s="275"/>
      <c r="C42" s="276"/>
      <c r="D42" s="276"/>
      <c r="E42" s="276"/>
      <c r="F42" s="277">
        <f t="shared" si="0"/>
        <v>0</v>
      </c>
      <c r="G42" s="268"/>
      <c r="H42" s="260"/>
      <c r="I42" s="260"/>
      <c r="J42" s="260"/>
      <c r="K42" s="260"/>
      <c r="AE42" s="295">
        <f t="shared" si="1"/>
        <v>0</v>
      </c>
    </row>
    <row r="43" spans="1:31" s="144" customFormat="1" ht="24.75" customHeight="1" thickBot="1">
      <c r="A43" s="410"/>
      <c r="B43" s="278" t="s">
        <v>41</v>
      </c>
      <c r="C43" s="279">
        <f>SUM(C33:C41)</f>
        <v>0</v>
      </c>
      <c r="D43" s="279"/>
      <c r="E43" s="279"/>
      <c r="F43" s="280">
        <f>SUM(F33:F42)</f>
        <v>0</v>
      </c>
      <c r="G43" s="268"/>
      <c r="H43" s="260"/>
      <c r="I43" s="260"/>
      <c r="J43" s="260"/>
      <c r="K43" s="260"/>
      <c r="AE43" s="295"/>
    </row>
    <row r="44" spans="1:11" s="144" customFormat="1" ht="24.75" customHeight="1">
      <c r="A44" s="411"/>
      <c r="B44" s="263" t="s">
        <v>273</v>
      </c>
      <c r="C44" s="281"/>
      <c r="D44" s="281"/>
      <c r="E44" s="281"/>
      <c r="F44" s="281"/>
      <c r="G44" s="268"/>
      <c r="H44" s="260"/>
      <c r="I44" s="260"/>
      <c r="J44" s="260"/>
      <c r="K44" s="260"/>
    </row>
    <row r="45" spans="1:7" s="144" customFormat="1" ht="24.75" customHeight="1">
      <c r="A45" s="408"/>
      <c r="B45" s="252"/>
      <c r="C45" s="259"/>
      <c r="D45" s="259"/>
      <c r="E45" s="259"/>
      <c r="F45" s="259"/>
      <c r="G45" s="252"/>
    </row>
    <row r="46" spans="1:7" s="144" customFormat="1" ht="24.75" customHeight="1" thickBot="1">
      <c r="A46" s="408"/>
      <c r="B46" s="506" t="str">
        <f>C8</f>
        <v>Semester Gasal 2019/2020</v>
      </c>
      <c r="C46" s="439"/>
      <c r="D46" s="439"/>
      <c r="E46" s="439"/>
      <c r="F46" s="439"/>
      <c r="G46" s="252"/>
    </row>
    <row r="47" spans="1:31" s="144" customFormat="1" ht="34.5" customHeight="1">
      <c r="A47" s="408"/>
      <c r="B47" s="507" t="s">
        <v>195</v>
      </c>
      <c r="C47" s="508" t="s">
        <v>184</v>
      </c>
      <c r="D47" s="508" t="s">
        <v>194</v>
      </c>
      <c r="E47" s="508" t="s">
        <v>193</v>
      </c>
      <c r="F47" s="509" t="s">
        <v>192</v>
      </c>
      <c r="G47" s="254"/>
      <c r="H47" s="170"/>
      <c r="I47" s="170"/>
      <c r="J47" s="170"/>
      <c r="K47" s="170"/>
      <c r="AE47" s="293"/>
    </row>
    <row r="48" spans="1:31" s="144" customFormat="1" ht="30" customHeight="1">
      <c r="A48" s="408"/>
      <c r="B48" s="510" t="s">
        <v>181</v>
      </c>
      <c r="C48" s="511" t="s">
        <v>180</v>
      </c>
      <c r="D48" s="511" t="s">
        <v>179</v>
      </c>
      <c r="E48" s="511" t="s">
        <v>191</v>
      </c>
      <c r="F48" s="512" t="s">
        <v>190</v>
      </c>
      <c r="G48" s="254"/>
      <c r="H48" s="170"/>
      <c r="AE48" s="293"/>
    </row>
    <row r="49" spans="1:31" s="144" customFormat="1" ht="24.75" customHeight="1">
      <c r="A49" s="408"/>
      <c r="B49" s="275"/>
      <c r="C49" s="276"/>
      <c r="D49" s="276"/>
      <c r="E49" s="276"/>
      <c r="F49" s="513">
        <f aca="true" t="shared" si="2" ref="F49:F58">IF(C49=0,0,(C49*D49)/E49)</f>
        <v>0</v>
      </c>
      <c r="G49" s="254"/>
      <c r="H49" s="144" t="s">
        <v>189</v>
      </c>
      <c r="I49" s="169">
        <f>F59*1</f>
        <v>0</v>
      </c>
      <c r="J49" s="168" t="s">
        <v>140</v>
      </c>
      <c r="K49" s="168"/>
      <c r="AE49" s="293">
        <f aca="true" t="shared" si="3" ref="AE49:AE58">IF(D49&gt;=1,1,0)</f>
        <v>0</v>
      </c>
    </row>
    <row r="50" spans="1:31" s="144" customFormat="1" ht="24.75" customHeight="1">
      <c r="A50" s="408"/>
      <c r="B50" s="157"/>
      <c r="C50" s="276"/>
      <c r="D50" s="276"/>
      <c r="E50" s="276"/>
      <c r="F50" s="513">
        <f>IF(C50=0,0,(C50*D50)/E50)</f>
        <v>0</v>
      </c>
      <c r="G50" s="254"/>
      <c r="H50" s="144" t="s">
        <v>188</v>
      </c>
      <c r="I50" s="169">
        <f>F55*1</f>
        <v>0</v>
      </c>
      <c r="J50" s="168" t="s">
        <v>140</v>
      </c>
      <c r="K50" s="168"/>
      <c r="AE50" s="293">
        <f>IF(D50&gt;=1,1,0)</f>
        <v>0</v>
      </c>
    </row>
    <row r="51" spans="1:31" s="144" customFormat="1" ht="24.75" customHeight="1">
      <c r="A51" s="408"/>
      <c r="B51" s="157"/>
      <c r="C51" s="171"/>
      <c r="D51" s="149"/>
      <c r="E51" s="149"/>
      <c r="F51" s="513">
        <f>IF(C51=0,0,(C51*D51)/E51)</f>
        <v>0</v>
      </c>
      <c r="G51" s="254"/>
      <c r="H51" s="144" t="s">
        <v>187</v>
      </c>
      <c r="I51" s="169">
        <f>F55*1</f>
        <v>0</v>
      </c>
      <c r="J51" s="168" t="s">
        <v>140</v>
      </c>
      <c r="K51" s="168"/>
      <c r="AE51" s="293">
        <f>IF(D51&gt;=1,1,0)</f>
        <v>0</v>
      </c>
    </row>
    <row r="52" spans="1:31" s="144" customFormat="1" ht="24.75" customHeight="1">
      <c r="A52" s="408"/>
      <c r="B52" s="157"/>
      <c r="C52" s="171"/>
      <c r="D52" s="149"/>
      <c r="E52" s="149"/>
      <c r="F52" s="513">
        <f>IF(C52=0,0,(C52*D52)/E52)</f>
        <v>0</v>
      </c>
      <c r="G52" s="254"/>
      <c r="I52" s="169"/>
      <c r="J52" s="168"/>
      <c r="K52" s="168"/>
      <c r="AE52" s="293">
        <f>IF(D52&gt;=1,1,0)</f>
        <v>0</v>
      </c>
    </row>
    <row r="53" spans="1:31" s="144" customFormat="1" ht="24.75" customHeight="1">
      <c r="A53" s="408"/>
      <c r="B53" s="157"/>
      <c r="C53" s="171"/>
      <c r="D53" s="149"/>
      <c r="E53" s="149"/>
      <c r="F53" s="513">
        <f>IF(C53=0,0,(C53*D53)/E53)</f>
        <v>0</v>
      </c>
      <c r="G53" s="254"/>
      <c r="I53" s="169"/>
      <c r="J53" s="168"/>
      <c r="K53" s="168"/>
      <c r="AE53" s="293">
        <f>IF(D53&gt;=1,1,0)</f>
        <v>0</v>
      </c>
    </row>
    <row r="54" spans="1:31" s="144" customFormat="1" ht="24.75" customHeight="1">
      <c r="A54" s="408"/>
      <c r="B54" s="157"/>
      <c r="C54" s="149"/>
      <c r="D54" s="149"/>
      <c r="E54" s="149"/>
      <c r="F54" s="513">
        <f t="shared" si="2"/>
        <v>0</v>
      </c>
      <c r="G54" s="254"/>
      <c r="H54" s="144" t="s">
        <v>188</v>
      </c>
      <c r="I54" s="169">
        <f>F59*1</f>
        <v>0</v>
      </c>
      <c r="J54" s="168" t="s">
        <v>140</v>
      </c>
      <c r="K54" s="168"/>
      <c r="AE54" s="293">
        <f t="shared" si="3"/>
        <v>0</v>
      </c>
    </row>
    <row r="55" spans="1:31" s="144" customFormat="1" ht="24.75" customHeight="1">
      <c r="A55" s="408"/>
      <c r="B55" s="157"/>
      <c r="C55" s="171"/>
      <c r="D55" s="149"/>
      <c r="E55" s="149"/>
      <c r="F55" s="513">
        <f t="shared" si="2"/>
        <v>0</v>
      </c>
      <c r="G55" s="254"/>
      <c r="H55" s="144" t="s">
        <v>187</v>
      </c>
      <c r="I55" s="169">
        <f>F59*1</f>
        <v>0</v>
      </c>
      <c r="J55" s="168" t="s">
        <v>140</v>
      </c>
      <c r="K55" s="168"/>
      <c r="AE55" s="293">
        <f t="shared" si="3"/>
        <v>0</v>
      </c>
    </row>
    <row r="56" spans="1:31" s="144" customFormat="1" ht="24.75" customHeight="1">
      <c r="A56" s="408"/>
      <c r="B56" s="157"/>
      <c r="C56" s="171"/>
      <c r="D56" s="149"/>
      <c r="E56" s="149"/>
      <c r="F56" s="513">
        <f t="shared" si="2"/>
        <v>0</v>
      </c>
      <c r="G56" s="254"/>
      <c r="I56" s="169"/>
      <c r="J56" s="168"/>
      <c r="K56" s="168"/>
      <c r="AE56" s="293">
        <f t="shared" si="3"/>
        <v>0</v>
      </c>
    </row>
    <row r="57" spans="1:31" s="144" customFormat="1" ht="24.75" customHeight="1">
      <c r="A57" s="408"/>
      <c r="B57" s="157"/>
      <c r="C57" s="171"/>
      <c r="D57" s="149"/>
      <c r="E57" s="149"/>
      <c r="F57" s="513">
        <f t="shared" si="2"/>
        <v>0</v>
      </c>
      <c r="G57" s="254"/>
      <c r="I57" s="169"/>
      <c r="J57" s="168"/>
      <c r="K57" s="168"/>
      <c r="AE57" s="293">
        <f t="shared" si="3"/>
        <v>0</v>
      </c>
    </row>
    <row r="58" spans="1:31" s="144" customFormat="1" ht="24.75" customHeight="1">
      <c r="A58" s="408"/>
      <c r="B58" s="157"/>
      <c r="C58" s="171"/>
      <c r="D58" s="149"/>
      <c r="E58" s="149"/>
      <c r="F58" s="513">
        <f t="shared" si="2"/>
        <v>0</v>
      </c>
      <c r="G58" s="254"/>
      <c r="I58" s="169"/>
      <c r="J58" s="168"/>
      <c r="K58" s="168"/>
      <c r="AE58" s="293">
        <f t="shared" si="3"/>
        <v>0</v>
      </c>
    </row>
    <row r="59" spans="1:11" s="144" customFormat="1" ht="24.75" customHeight="1" thickBot="1">
      <c r="A59" s="408"/>
      <c r="B59" s="515" t="s">
        <v>41</v>
      </c>
      <c r="C59" s="516">
        <f>SUM(C49:C54)</f>
        <v>0</v>
      </c>
      <c r="D59" s="517"/>
      <c r="E59" s="517"/>
      <c r="F59" s="514">
        <f>SUM(F49:F58)</f>
        <v>0</v>
      </c>
      <c r="G59" s="254"/>
      <c r="K59" s="168"/>
    </row>
    <row r="60" spans="1:7" s="144" customFormat="1" ht="24.75" customHeight="1">
      <c r="A60" s="381"/>
      <c r="B60" s="254"/>
      <c r="C60" s="290"/>
      <c r="D60" s="290"/>
      <c r="E60" s="290"/>
      <c r="F60" s="290"/>
      <c r="G60" s="254"/>
    </row>
    <row r="61" spans="1:7" s="144" customFormat="1" ht="24.75" customHeight="1" thickBot="1">
      <c r="A61" s="412"/>
      <c r="B61" s="258" t="s">
        <v>186</v>
      </c>
      <c r="C61" s="252"/>
      <c r="D61" s="252"/>
      <c r="E61" s="310">
        <f>IF(C10="Lektor",1,IF(C10="LEKTOR",1,IF(C10="Lektor Kepala",1,IF(C10="LEKTOR KEPALA",1,IF(C10="Guru Besar",1,IF(C10="GURU BESAR",1,IF(C10="Asisten Ahli",0.5,IF(C10="ASISTEN AHLI",0.5,1))))))))</f>
        <v>0.5</v>
      </c>
      <c r="F61" s="310">
        <f>IF(C10="Lektor",0.5,IF(C10="LEKTOR",0.5,IF(C10="Lektor Kepala",0.5,IF(C10="LEKTOR KEPALA",0.5,IF(C10="Guru Besar",0.5,IF(C10="GURU BESAR",0.5,IF(C10="Asisten Ahli",0.25,IF(C10="ASISTEN AHLI",0.25,0.5))))))))</f>
        <v>0.25</v>
      </c>
      <c r="G61" s="291"/>
    </row>
    <row r="62" spans="1:33" s="144" customFormat="1" ht="24.75" customHeight="1" thickBot="1">
      <c r="A62" s="408"/>
      <c r="B62" s="747" t="s">
        <v>185</v>
      </c>
      <c r="C62" s="744" t="s">
        <v>281</v>
      </c>
      <c r="D62" s="757" t="s">
        <v>183</v>
      </c>
      <c r="E62" s="735" t="s">
        <v>20</v>
      </c>
      <c r="F62" s="735"/>
      <c r="G62" s="736"/>
      <c r="AE62" s="754" t="s">
        <v>280</v>
      </c>
      <c r="AF62" s="755"/>
      <c r="AG62" s="756"/>
    </row>
    <row r="63" spans="1:33" s="144" customFormat="1" ht="34.5" customHeight="1" thickBot="1">
      <c r="A63" s="408"/>
      <c r="B63" s="748"/>
      <c r="C63" s="745"/>
      <c r="D63" s="758"/>
      <c r="E63" s="282" t="s">
        <v>274</v>
      </c>
      <c r="F63" s="282" t="s">
        <v>275</v>
      </c>
      <c r="G63" s="750" t="s">
        <v>41</v>
      </c>
      <c r="AE63" s="722" t="s">
        <v>278</v>
      </c>
      <c r="AF63" s="723" t="s">
        <v>9</v>
      </c>
      <c r="AG63" s="724"/>
    </row>
    <row r="64" spans="1:33" s="144" customFormat="1" ht="24.75" customHeight="1" thickBot="1">
      <c r="A64" s="408"/>
      <c r="B64" s="749"/>
      <c r="C64" s="746"/>
      <c r="D64" s="759"/>
      <c r="E64" s="283" t="str">
        <f>"x ("&amp;E61&amp;")"</f>
        <v>x (0,5)</v>
      </c>
      <c r="F64" s="283" t="str">
        <f>" x ("&amp;F61&amp;")"</f>
        <v> x (0,25)</v>
      </c>
      <c r="G64" s="751"/>
      <c r="AE64" s="722"/>
      <c r="AF64" s="725"/>
      <c r="AG64" s="726"/>
    </row>
    <row r="65" spans="1:34" s="144" customFormat="1" ht="24.75" customHeight="1" thickBot="1">
      <c r="A65" s="408"/>
      <c r="B65" s="284" t="str">
        <f>B30</f>
        <v>Semester Genap 2018/2019</v>
      </c>
      <c r="C65" s="296">
        <f>C43</f>
        <v>0</v>
      </c>
      <c r="D65" s="297">
        <f>F43</f>
        <v>0</v>
      </c>
      <c r="E65" s="297">
        <f>IF(D65&gt;=10,(10*E61),(D65*E61))</f>
        <v>0</v>
      </c>
      <c r="F65" s="297">
        <f>IF(D65&gt;10,(D65-10)*F61,0)</f>
        <v>0</v>
      </c>
      <c r="G65" s="298">
        <f>SUM(E65:F65)</f>
        <v>0</v>
      </c>
      <c r="AE65" s="301">
        <f>SUM(AE33:AE42)</f>
        <v>0</v>
      </c>
      <c r="AF65" s="301">
        <f>AH65*6</f>
        <v>0</v>
      </c>
      <c r="AG65" s="305" t="s">
        <v>279</v>
      </c>
      <c r="AH65" s="293">
        <f>IF(D65&gt;=1,1,0)</f>
        <v>0</v>
      </c>
    </row>
    <row r="66" spans="1:34" s="144" customFormat="1" ht="24.75" customHeight="1" thickBot="1">
      <c r="A66" s="408"/>
      <c r="B66" s="505" t="str">
        <f>B46</f>
        <v>Semester Gasal 2019/2020</v>
      </c>
      <c r="C66" s="296">
        <f>C59</f>
        <v>0</v>
      </c>
      <c r="D66" s="297">
        <f>F59</f>
        <v>0</v>
      </c>
      <c r="E66" s="297">
        <f>IF(D66&gt;=10,(10*E61),(D66*E61))</f>
        <v>0</v>
      </c>
      <c r="F66" s="297">
        <f>IF(D66&gt;10,(D66-10)*F61,0)</f>
        <v>0</v>
      </c>
      <c r="G66" s="298">
        <f>SUM(E66:F66)</f>
        <v>0</v>
      </c>
      <c r="AE66" s="302">
        <f>SUM(AE49:AE58)</f>
        <v>0</v>
      </c>
      <c r="AF66" s="301">
        <f>AH66*6</f>
        <v>0</v>
      </c>
      <c r="AG66" s="305" t="s">
        <v>279</v>
      </c>
      <c r="AH66" s="293">
        <f>IF(D66&gt;=1,1,0)</f>
        <v>0</v>
      </c>
    </row>
    <row r="67" spans="1:33" s="144" customFormat="1" ht="24.75" customHeight="1" thickBot="1">
      <c r="A67" s="408"/>
      <c r="B67" s="287" t="s">
        <v>41</v>
      </c>
      <c r="C67" s="299">
        <f>SUM(C65:C66)</f>
        <v>0</v>
      </c>
      <c r="D67" s="317">
        <f>SUM(D65:D66)</f>
        <v>0</v>
      </c>
      <c r="E67" s="300">
        <f>SUM(E65:E66)</f>
        <v>0</v>
      </c>
      <c r="F67" s="300">
        <f>SUM(F65:F66)</f>
        <v>0</v>
      </c>
      <c r="G67" s="316">
        <f>SUM(G65:G66)</f>
        <v>0</v>
      </c>
      <c r="AE67" s="307">
        <f>SUM(AE65:AE66)</f>
        <v>0</v>
      </c>
      <c r="AF67" s="308">
        <f>AF65+AF66</f>
        <v>0</v>
      </c>
      <c r="AG67" s="309" t="s">
        <v>279</v>
      </c>
    </row>
    <row r="68" spans="1:31" s="144" customFormat="1" ht="24.75" customHeight="1">
      <c r="A68" s="408"/>
      <c r="B68" s="292" t="s">
        <v>276</v>
      </c>
      <c r="C68" s="256"/>
      <c r="D68" s="256"/>
      <c r="E68" s="256"/>
      <c r="F68" s="256"/>
      <c r="G68" s="256"/>
      <c r="AE68" s="148"/>
    </row>
    <row r="69" spans="1:31" s="144" customFormat="1" ht="24.75" customHeight="1">
      <c r="A69" s="408"/>
      <c r="B69" s="292" t="s">
        <v>277</v>
      </c>
      <c r="C69" s="256"/>
      <c r="D69" s="256"/>
      <c r="E69" s="256"/>
      <c r="F69" s="256"/>
      <c r="G69" s="256"/>
      <c r="AE69" s="148"/>
    </row>
    <row r="70" spans="1:7" s="144" customFormat="1" ht="24.75" customHeight="1" thickBot="1">
      <c r="A70" s="408"/>
      <c r="B70" s="252"/>
      <c r="C70" s="252"/>
      <c r="D70" s="252"/>
      <c r="E70" s="252"/>
      <c r="F70" s="252"/>
      <c r="G70" s="252"/>
    </row>
    <row r="71" spans="1:33" s="144" customFormat="1" ht="24.75" customHeight="1" thickBot="1">
      <c r="A71" s="321">
        <v>2</v>
      </c>
      <c r="B71" s="319" t="s">
        <v>283</v>
      </c>
      <c r="C71" s="319"/>
      <c r="D71" s="255"/>
      <c r="E71" s="255"/>
      <c r="F71" s="255"/>
      <c r="G71" s="253"/>
      <c r="AE71" s="754" t="s">
        <v>280</v>
      </c>
      <c r="AF71" s="755"/>
      <c r="AG71" s="756"/>
    </row>
    <row r="72" spans="1:33" s="144" customFormat="1" ht="24.75" customHeight="1" thickBot="1">
      <c r="A72" s="408"/>
      <c r="B72" s="370" t="s">
        <v>93</v>
      </c>
      <c r="C72" s="738" t="s">
        <v>182</v>
      </c>
      <c r="D72" s="739"/>
      <c r="E72" s="329" t="s">
        <v>284</v>
      </c>
      <c r="F72" s="295"/>
      <c r="G72" s="323"/>
      <c r="H72" s="170"/>
      <c r="I72" s="170"/>
      <c r="J72" s="170"/>
      <c r="K72" s="170"/>
      <c r="AE72" s="361" t="s">
        <v>235</v>
      </c>
      <c r="AF72" s="723" t="s">
        <v>9</v>
      </c>
      <c r="AG72" s="724"/>
    </row>
    <row r="73" spans="1:33" s="144" customFormat="1" ht="24.75" customHeight="1" thickBot="1">
      <c r="A73" s="408"/>
      <c r="B73" s="371" t="s">
        <v>181</v>
      </c>
      <c r="C73" s="740" t="s">
        <v>180</v>
      </c>
      <c r="D73" s="741"/>
      <c r="E73" s="372" t="s">
        <v>179</v>
      </c>
      <c r="F73" s="295"/>
      <c r="G73" s="323"/>
      <c r="H73" s="144" t="s">
        <v>178</v>
      </c>
      <c r="I73" s="169">
        <f>C76</f>
        <v>0</v>
      </c>
      <c r="J73" s="168" t="s">
        <v>140</v>
      </c>
      <c r="K73" s="168"/>
      <c r="AE73" s="362"/>
      <c r="AF73" s="725"/>
      <c r="AG73" s="726"/>
    </row>
    <row r="74" spans="1:33" s="144" customFormat="1" ht="24.75" customHeight="1" thickBot="1">
      <c r="A74" s="381"/>
      <c r="B74" s="330" t="str">
        <f>B65</f>
        <v>Semester Genap 2018/2019</v>
      </c>
      <c r="C74" s="337"/>
      <c r="D74" s="336" t="s">
        <v>286</v>
      </c>
      <c r="E74" s="331">
        <f>IF(C74&gt;=1,1,0)</f>
        <v>0</v>
      </c>
      <c r="F74" s="295">
        <f>IF(C74&gt;=1,1,0)</f>
        <v>0</v>
      </c>
      <c r="G74" s="252"/>
      <c r="AE74" s="228">
        <f>IF(C74&gt;=1,1,0)</f>
        <v>0</v>
      </c>
      <c r="AF74" s="301">
        <f>IF(AE74&gt;=1,6,0)</f>
        <v>0</v>
      </c>
      <c r="AG74" s="305" t="s">
        <v>279</v>
      </c>
    </row>
    <row r="75" spans="1:33" s="144" customFormat="1" ht="24.75" customHeight="1" thickBot="1">
      <c r="A75" s="381"/>
      <c r="B75" s="504" t="str">
        <f>B66</f>
        <v>Semester Gasal 2019/2020</v>
      </c>
      <c r="C75" s="338"/>
      <c r="D75" s="332" t="s">
        <v>286</v>
      </c>
      <c r="E75" s="333">
        <f>IF(C75&gt;=1,1,0)</f>
        <v>0</v>
      </c>
      <c r="F75" s="295">
        <f>IF(C75&gt;=1,1,0)</f>
        <v>0</v>
      </c>
      <c r="G75" s="252"/>
      <c r="AE75" s="228">
        <f>IF(C75&gt;=1,1,0)</f>
        <v>0</v>
      </c>
      <c r="AF75" s="301">
        <f>IF(AE75&gt;=1,6,0)</f>
        <v>0</v>
      </c>
      <c r="AG75" s="305" t="s">
        <v>279</v>
      </c>
    </row>
    <row r="76" spans="1:33" s="144" customFormat="1" ht="24.75" customHeight="1" thickBot="1">
      <c r="A76" s="381"/>
      <c r="B76" s="334" t="s">
        <v>41</v>
      </c>
      <c r="C76" s="353">
        <f>SUM(C74:C75)</f>
        <v>0</v>
      </c>
      <c r="D76" s="354" t="s">
        <v>286</v>
      </c>
      <c r="E76" s="335">
        <f>SUM(E74:E75)</f>
        <v>0</v>
      </c>
      <c r="F76" s="295">
        <f>SUM(F74:F75)</f>
        <v>0</v>
      </c>
      <c r="G76" s="252"/>
      <c r="AE76" s="328">
        <f>SUM(AE74:AE75)</f>
        <v>0</v>
      </c>
      <c r="AF76" s="308">
        <f>AF74+AF75</f>
        <v>0</v>
      </c>
      <c r="AG76" s="309" t="s">
        <v>279</v>
      </c>
    </row>
    <row r="77" spans="1:7" s="144" customFormat="1" ht="24.75" customHeight="1">
      <c r="A77" s="408"/>
      <c r="B77" s="327" t="s">
        <v>285</v>
      </c>
      <c r="C77" s="252"/>
      <c r="D77" s="252"/>
      <c r="E77" s="252"/>
      <c r="F77" s="252"/>
      <c r="G77" s="252"/>
    </row>
    <row r="78" spans="1:33" s="144" customFormat="1" ht="24.75" customHeight="1">
      <c r="A78" s="408"/>
      <c r="B78" s="252"/>
      <c r="C78" s="252"/>
      <c r="D78" s="252"/>
      <c r="E78" s="252"/>
      <c r="F78" s="252"/>
      <c r="G78" s="252"/>
      <c r="H78" s="167"/>
      <c r="AE78" s="322"/>
      <c r="AF78" s="322"/>
      <c r="AG78" s="322"/>
    </row>
    <row r="79" spans="1:8" s="144" customFormat="1" ht="34.5" customHeight="1" thickBot="1">
      <c r="A79" s="321">
        <v>3</v>
      </c>
      <c r="B79" s="355" t="s">
        <v>290</v>
      </c>
      <c r="C79" s="356"/>
      <c r="D79" s="356"/>
      <c r="E79" s="356"/>
      <c r="F79" s="356"/>
      <c r="G79" s="321"/>
      <c r="H79" s="144" t="s">
        <v>20</v>
      </c>
    </row>
    <row r="80" spans="1:33" s="144" customFormat="1" ht="75" customHeight="1" thickBot="1">
      <c r="A80" s="381"/>
      <c r="B80" s="357" t="s">
        <v>177</v>
      </c>
      <c r="C80" s="697" t="str">
        <f>CONCATENATE("Jumlah Mahasiswa yg dibimbing pada
",B74)</f>
        <v>Jumlah Mahasiswa yg dibimbing pada
Semester Genap 2018/2019</v>
      </c>
      <c r="D80" s="698" t="str">
        <f>CONCATENATE("Jumlah Mahasiswa yg dibimbing pada
",B75)</f>
        <v>Jumlah Mahasiswa yg dibimbing pada
Semester Gasal 2019/2020</v>
      </c>
      <c r="E80" s="358" t="s">
        <v>235</v>
      </c>
      <c r="F80" s="375" t="s">
        <v>20</v>
      </c>
      <c r="G80" s="295"/>
      <c r="AE80" s="754" t="s">
        <v>280</v>
      </c>
      <c r="AF80" s="755"/>
      <c r="AG80" s="756"/>
    </row>
    <row r="81" spans="1:36" s="144" customFormat="1" ht="24.75" customHeight="1" thickBot="1">
      <c r="A81" s="381"/>
      <c r="B81" s="284" t="s">
        <v>176</v>
      </c>
      <c r="C81" s="363"/>
      <c r="D81" s="363"/>
      <c r="E81" s="285">
        <f>AI81+AJ81</f>
        <v>0</v>
      </c>
      <c r="F81" s="376">
        <f>E81*1</f>
        <v>0</v>
      </c>
      <c r="G81" s="295">
        <f aca="true" t="shared" si="4" ref="G81:H83">IF(C81&gt;=1,1,0)</f>
        <v>0</v>
      </c>
      <c r="H81" s="166">
        <f t="shared" si="4"/>
        <v>0</v>
      </c>
      <c r="AE81" s="366" t="s">
        <v>235</v>
      </c>
      <c r="AF81" s="306" t="s">
        <v>9</v>
      </c>
      <c r="AG81" s="374"/>
      <c r="AI81" s="293">
        <f aca="true" t="shared" si="5" ref="AI81:AJ83">IF(C81&gt;=1,1,0)</f>
        <v>0</v>
      </c>
      <c r="AJ81" s="293">
        <f t="shared" si="5"/>
        <v>0</v>
      </c>
    </row>
    <row r="82" spans="1:36" s="144" customFormat="1" ht="24.75" customHeight="1" thickBot="1">
      <c r="A82" s="381"/>
      <c r="B82" s="284" t="s">
        <v>175</v>
      </c>
      <c r="C82" s="363"/>
      <c r="D82" s="363"/>
      <c r="E82" s="285">
        <f>AI82+AJ82</f>
        <v>0</v>
      </c>
      <c r="F82" s="376">
        <f>E82*1</f>
        <v>0</v>
      </c>
      <c r="G82" s="295">
        <f t="shared" si="4"/>
        <v>0</v>
      </c>
      <c r="H82" s="166">
        <f t="shared" si="4"/>
        <v>0</v>
      </c>
      <c r="I82" s="144">
        <v>50</v>
      </c>
      <c r="J82" s="144" t="s">
        <v>174</v>
      </c>
      <c r="AE82" s="367">
        <f>E81</f>
        <v>0</v>
      </c>
      <c r="AF82" s="368">
        <f>IF((AI85+AJ85)=0,0,IF((AI85+AJ85)&gt;=2,12,6))</f>
        <v>0</v>
      </c>
      <c r="AG82" s="309" t="s">
        <v>279</v>
      </c>
      <c r="AI82" s="293">
        <f t="shared" si="5"/>
        <v>0</v>
      </c>
      <c r="AJ82" s="293">
        <f t="shared" si="5"/>
        <v>0</v>
      </c>
    </row>
    <row r="83" spans="1:36" s="144" customFormat="1" ht="24.75" customHeight="1">
      <c r="A83" s="381"/>
      <c r="B83" s="284" t="s">
        <v>173</v>
      </c>
      <c r="C83" s="363"/>
      <c r="D83" s="363"/>
      <c r="E83" s="285">
        <f>AI83+AJ83</f>
        <v>0</v>
      </c>
      <c r="F83" s="376">
        <f>E83*1</f>
        <v>0</v>
      </c>
      <c r="G83" s="295">
        <f t="shared" si="4"/>
        <v>0</v>
      </c>
      <c r="H83" s="166">
        <f t="shared" si="4"/>
        <v>0</v>
      </c>
      <c r="AE83" s="364">
        <f>E82</f>
        <v>0</v>
      </c>
      <c r="AI83" s="293">
        <f t="shared" si="5"/>
        <v>0</v>
      </c>
      <c r="AJ83" s="293">
        <f t="shared" si="5"/>
        <v>0</v>
      </c>
    </row>
    <row r="84" spans="1:36" s="144" customFormat="1" ht="24.75" customHeight="1">
      <c r="A84" s="381"/>
      <c r="B84" s="359"/>
      <c r="C84" s="365"/>
      <c r="D84" s="365"/>
      <c r="E84" s="360"/>
      <c r="F84" s="377"/>
      <c r="G84" s="295"/>
      <c r="H84" s="166"/>
      <c r="AE84" s="364">
        <f>E83</f>
        <v>0</v>
      </c>
      <c r="AI84" s="293"/>
      <c r="AJ84" s="293"/>
    </row>
    <row r="85" spans="1:36" s="144" customFormat="1" ht="24.75" customHeight="1" thickBot="1">
      <c r="A85" s="381"/>
      <c r="B85" s="424" t="s">
        <v>41</v>
      </c>
      <c r="C85" s="425">
        <f>SUM(C81:C84)</f>
        <v>0</v>
      </c>
      <c r="D85" s="425">
        <f>SUM(D81:D84)</f>
        <v>0</v>
      </c>
      <c r="E85" s="403">
        <f>SUM(E81:E83)</f>
        <v>0</v>
      </c>
      <c r="F85" s="426">
        <f>SUM(F81:F83)</f>
        <v>0</v>
      </c>
      <c r="G85" s="295">
        <f>SUM(G81:G83)</f>
        <v>0</v>
      </c>
      <c r="H85" s="166">
        <f>SUM(H81:H83)</f>
        <v>0</v>
      </c>
      <c r="AE85" s="369">
        <f>E85</f>
        <v>0</v>
      </c>
      <c r="AI85" s="373">
        <f>IF(SUM(C81:C84)&gt;=1,1,0)</f>
        <v>0</v>
      </c>
      <c r="AJ85" s="373">
        <f>IF(SUM(D81:D84)&gt;=1,1,0)</f>
        <v>0</v>
      </c>
    </row>
    <row r="86" spans="1:7" s="144" customFormat="1" ht="24.75" customHeight="1">
      <c r="A86" s="408"/>
      <c r="B86" s="327" t="s">
        <v>172</v>
      </c>
      <c r="C86" s="252"/>
      <c r="D86" s="252"/>
      <c r="E86" s="252"/>
      <c r="F86" s="252"/>
      <c r="G86" s="252"/>
    </row>
    <row r="87" spans="1:7" s="144" customFormat="1" ht="24.75" customHeight="1">
      <c r="A87" s="408"/>
      <c r="B87" s="252"/>
      <c r="C87" s="252"/>
      <c r="D87" s="252"/>
      <c r="E87" s="252"/>
      <c r="F87" s="252"/>
      <c r="G87" s="252"/>
    </row>
    <row r="88" spans="1:8" s="381" customFormat="1" ht="48.75" customHeight="1">
      <c r="A88" s="321">
        <v>4</v>
      </c>
      <c r="B88" s="319" t="s">
        <v>83</v>
      </c>
      <c r="C88" s="319"/>
      <c r="D88" s="319"/>
      <c r="E88" s="319"/>
      <c r="F88" s="319"/>
      <c r="G88" s="321"/>
      <c r="H88" s="381" t="s">
        <v>20</v>
      </c>
    </row>
    <row r="89" spans="1:11" s="144" customFormat="1" ht="24.75" customHeight="1" thickBot="1">
      <c r="A89" s="381"/>
      <c r="B89" s="291" t="s">
        <v>171</v>
      </c>
      <c r="C89" s="254"/>
      <c r="D89" s="255"/>
      <c r="E89" s="254"/>
      <c r="F89" s="254"/>
      <c r="G89" s="254"/>
      <c r="H89" s="165"/>
      <c r="I89" s="164"/>
      <c r="J89" s="164"/>
      <c r="K89" s="164"/>
    </row>
    <row r="90" spans="1:32" s="144" customFormat="1" ht="24.75" customHeight="1">
      <c r="A90" s="381"/>
      <c r="B90" s="395" t="str">
        <f>B74</f>
        <v>Semester Genap 2018/2019</v>
      </c>
      <c r="C90" s="396" t="s">
        <v>163</v>
      </c>
      <c r="D90" s="397" t="s">
        <v>296</v>
      </c>
      <c r="E90" s="397" t="s">
        <v>297</v>
      </c>
      <c r="F90" s="238"/>
      <c r="G90" s="238"/>
      <c r="H90" s="145" t="s">
        <v>170</v>
      </c>
      <c r="I90" s="145"/>
      <c r="J90" s="145"/>
      <c r="K90" s="145"/>
      <c r="AE90" s="294">
        <f>IF(C93+C103+C113&gt;=1,1,0)</f>
        <v>0</v>
      </c>
      <c r="AF90" s="294">
        <f>AE90*6</f>
        <v>0</v>
      </c>
    </row>
    <row r="91" spans="1:32" s="144" customFormat="1" ht="24.75" customHeight="1">
      <c r="A91" s="381"/>
      <c r="B91" s="400" t="s">
        <v>292</v>
      </c>
      <c r="C91" s="392"/>
      <c r="D91" s="404">
        <f>C91/6</f>
        <v>0</v>
      </c>
      <c r="E91" s="404">
        <f>D91*1</f>
        <v>0</v>
      </c>
      <c r="F91" s="391"/>
      <c r="G91" s="256"/>
      <c r="H91" s="389">
        <f>IF(C91&gt;0,(C91*1),0)</f>
        <v>0</v>
      </c>
      <c r="I91" s="151" t="e">
        <f>(#REF!+D93)*2</f>
        <v>#REF!</v>
      </c>
      <c r="J91" s="163" t="s">
        <v>164</v>
      </c>
      <c r="K91" s="162">
        <f>IF(C91&gt;0,0,D91)</f>
        <v>0</v>
      </c>
      <c r="AE91" s="294">
        <f>IF(C97+C107+C117&gt;=1,1,0)</f>
        <v>0</v>
      </c>
      <c r="AF91" s="294">
        <f>AE91*6</f>
        <v>0</v>
      </c>
    </row>
    <row r="92" spans="1:11" s="144" customFormat="1" ht="24.75" customHeight="1">
      <c r="A92" s="381"/>
      <c r="B92" s="400" t="s">
        <v>294</v>
      </c>
      <c r="C92" s="392"/>
      <c r="D92" s="404">
        <f>(C92/6)*0.5</f>
        <v>0</v>
      </c>
      <c r="E92" s="404">
        <f>D92*0.5</f>
        <v>0</v>
      </c>
      <c r="F92" s="256"/>
      <c r="G92" s="256"/>
      <c r="H92" s="389">
        <f>IF(C92&gt;0,C92,0)</f>
        <v>0</v>
      </c>
      <c r="K92" s="162">
        <f>IF(C92&gt;0,0,D92)</f>
        <v>0</v>
      </c>
    </row>
    <row r="93" spans="1:11" s="144" customFormat="1" ht="24.75" customHeight="1" thickBot="1">
      <c r="A93" s="381"/>
      <c r="B93" s="402" t="s">
        <v>298</v>
      </c>
      <c r="C93" s="403">
        <f>C91+C92</f>
        <v>0</v>
      </c>
      <c r="D93" s="405">
        <f>D91+D92</f>
        <v>0</v>
      </c>
      <c r="E93" s="405">
        <f>E91+E92</f>
        <v>0</v>
      </c>
      <c r="F93" s="256"/>
      <c r="G93" s="256"/>
      <c r="H93" s="162"/>
      <c r="K93" s="162"/>
    </row>
    <row r="94" spans="1:11" s="144" customFormat="1" ht="24.75" customHeight="1">
      <c r="A94" s="381"/>
      <c r="B94" s="416" t="str">
        <f>B75</f>
        <v>Semester Gasal 2019/2020</v>
      </c>
      <c r="C94" s="417" t="s">
        <v>163</v>
      </c>
      <c r="D94" s="418" t="s">
        <v>296</v>
      </c>
      <c r="E94" s="418" t="s">
        <v>297</v>
      </c>
      <c r="F94" s="238"/>
      <c r="G94" s="238"/>
      <c r="H94" s="145" t="s">
        <v>170</v>
      </c>
      <c r="I94" s="145"/>
      <c r="J94" s="145"/>
      <c r="K94" s="145"/>
    </row>
    <row r="95" spans="1:11" s="144" customFormat="1" ht="24.75" customHeight="1">
      <c r="A95" s="381"/>
      <c r="B95" s="419" t="s">
        <v>292</v>
      </c>
      <c r="C95" s="427"/>
      <c r="D95" s="420">
        <f>C95/6</f>
        <v>0</v>
      </c>
      <c r="E95" s="420">
        <f>D95*1</f>
        <v>0</v>
      </c>
      <c r="F95" s="391"/>
      <c r="G95" s="256"/>
      <c r="H95" s="389">
        <f>IF(C95&gt;0,(C95*1),0)</f>
        <v>0</v>
      </c>
      <c r="I95" s="151" t="e">
        <f>(#REF!+D97)*2</f>
        <v>#REF!</v>
      </c>
      <c r="J95" s="163" t="s">
        <v>164</v>
      </c>
      <c r="K95" s="162">
        <f>IF(C95&gt;0,0,D95)</f>
        <v>0</v>
      </c>
    </row>
    <row r="96" spans="1:11" s="144" customFormat="1" ht="24.75" customHeight="1">
      <c r="A96" s="381"/>
      <c r="B96" s="419" t="s">
        <v>294</v>
      </c>
      <c r="C96" s="427"/>
      <c r="D96" s="420">
        <f>(C96/6)*0.5</f>
        <v>0</v>
      </c>
      <c r="E96" s="420">
        <f>D96*0.5</f>
        <v>0</v>
      </c>
      <c r="F96" s="256"/>
      <c r="G96" s="256"/>
      <c r="H96" s="389">
        <f>IF(C96&gt;0,C96,0)</f>
        <v>0</v>
      </c>
      <c r="K96" s="162">
        <f>IF(C96&gt;0,0,D96)</f>
        <v>0</v>
      </c>
    </row>
    <row r="97" spans="1:11" s="144" customFormat="1" ht="24.75" customHeight="1" thickBot="1">
      <c r="A97" s="381"/>
      <c r="B97" s="421" t="s">
        <v>298</v>
      </c>
      <c r="C97" s="422">
        <f>C95+C96</f>
        <v>0</v>
      </c>
      <c r="D97" s="423">
        <f>D95+D96</f>
        <v>0</v>
      </c>
      <c r="E97" s="423">
        <f>E95+E96</f>
        <v>0</v>
      </c>
      <c r="F97" s="256"/>
      <c r="G97" s="256"/>
      <c r="H97" s="162"/>
      <c r="K97" s="162"/>
    </row>
    <row r="98" spans="1:11" s="144" customFormat="1" ht="75" customHeight="1">
      <c r="A98" s="381"/>
      <c r="B98" s="766" t="s">
        <v>295</v>
      </c>
      <c r="C98" s="767"/>
      <c r="D98" s="767"/>
      <c r="E98" s="767"/>
      <c r="F98" s="767"/>
      <c r="G98" s="767"/>
      <c r="H98" s="162"/>
      <c r="K98" s="162"/>
    </row>
    <row r="99" spans="1:11" s="144" customFormat="1" ht="24.75" customHeight="1" thickBot="1">
      <c r="A99" s="381"/>
      <c r="B99" s="291" t="s">
        <v>301</v>
      </c>
      <c r="C99" s="254"/>
      <c r="D99" s="255"/>
      <c r="E99" s="254"/>
      <c r="F99" s="254"/>
      <c r="G99" s="254"/>
      <c r="H99" s="165"/>
      <c r="I99" s="164"/>
      <c r="J99" s="164"/>
      <c r="K99" s="164"/>
    </row>
    <row r="100" spans="1:11" s="144" customFormat="1" ht="24.75" customHeight="1">
      <c r="A100" s="381"/>
      <c r="B100" s="395" t="str">
        <f>B74</f>
        <v>Semester Genap 2018/2019</v>
      </c>
      <c r="C100" s="396" t="s">
        <v>163</v>
      </c>
      <c r="D100" s="397" t="s">
        <v>296</v>
      </c>
      <c r="E100" s="397" t="s">
        <v>297</v>
      </c>
      <c r="F100" s="238"/>
      <c r="G100" s="238"/>
      <c r="H100" s="145" t="s">
        <v>170</v>
      </c>
      <c r="I100" s="145"/>
      <c r="J100" s="145"/>
      <c r="K100" s="145"/>
    </row>
    <row r="101" spans="1:11" s="144" customFormat="1" ht="24.75" customHeight="1">
      <c r="A101" s="381"/>
      <c r="B101" s="400" t="s">
        <v>292</v>
      </c>
      <c r="C101" s="392"/>
      <c r="D101" s="404">
        <f>C101/3</f>
        <v>0</v>
      </c>
      <c r="E101" s="404">
        <f>D101*1</f>
        <v>0</v>
      </c>
      <c r="F101" s="391"/>
      <c r="G101" s="256"/>
      <c r="H101" s="389">
        <f>IF(C101&gt;0,(C101*1),0)</f>
        <v>0</v>
      </c>
      <c r="I101" s="151" t="e">
        <f>(#REF!+D103)*2</f>
        <v>#REF!</v>
      </c>
      <c r="J101" s="163" t="s">
        <v>164</v>
      </c>
      <c r="K101" s="162">
        <f>IF(C101&gt;0,0,D101)</f>
        <v>0</v>
      </c>
    </row>
    <row r="102" spans="1:11" s="144" customFormat="1" ht="24.75" customHeight="1">
      <c r="A102" s="381"/>
      <c r="B102" s="400" t="s">
        <v>294</v>
      </c>
      <c r="C102" s="392"/>
      <c r="D102" s="404">
        <f>(C102/3)*0.5</f>
        <v>0</v>
      </c>
      <c r="E102" s="404">
        <f>D102*0.5</f>
        <v>0</v>
      </c>
      <c r="F102" s="256"/>
      <c r="G102" s="256"/>
      <c r="H102" s="389">
        <f>IF(C102&gt;0,C102,0)</f>
        <v>0</v>
      </c>
      <c r="K102" s="162">
        <f>IF(C102&gt;0,0,D102)</f>
        <v>0</v>
      </c>
    </row>
    <row r="103" spans="1:11" s="144" customFormat="1" ht="24.75" customHeight="1" thickBot="1">
      <c r="A103" s="381"/>
      <c r="B103" s="402" t="s">
        <v>293</v>
      </c>
      <c r="C103" s="403">
        <f>C101+C102</f>
        <v>0</v>
      </c>
      <c r="D103" s="405">
        <f>D101+D102</f>
        <v>0</v>
      </c>
      <c r="E103" s="405">
        <f>E101+E102</f>
        <v>0</v>
      </c>
      <c r="F103" s="256"/>
      <c r="G103" s="256"/>
      <c r="H103" s="162"/>
      <c r="K103" s="162"/>
    </row>
    <row r="104" spans="1:11" s="144" customFormat="1" ht="24.75" customHeight="1">
      <c r="A104" s="381"/>
      <c r="B104" s="416" t="str">
        <f>B75</f>
        <v>Semester Gasal 2019/2020</v>
      </c>
      <c r="C104" s="417" t="s">
        <v>163</v>
      </c>
      <c r="D104" s="418" t="s">
        <v>296</v>
      </c>
      <c r="E104" s="418" t="s">
        <v>297</v>
      </c>
      <c r="F104" s="238"/>
      <c r="G104" s="238"/>
      <c r="H104" s="145" t="s">
        <v>170</v>
      </c>
      <c r="I104" s="145"/>
      <c r="J104" s="145"/>
      <c r="K104" s="145"/>
    </row>
    <row r="105" spans="1:11" s="144" customFormat="1" ht="24.75" customHeight="1">
      <c r="A105" s="381"/>
      <c r="B105" s="419" t="s">
        <v>292</v>
      </c>
      <c r="C105" s="427"/>
      <c r="D105" s="420">
        <f>C105/3</f>
        <v>0</v>
      </c>
      <c r="E105" s="420">
        <f>D105*1</f>
        <v>0</v>
      </c>
      <c r="F105" s="391"/>
      <c r="G105" s="256"/>
      <c r="H105" s="389">
        <f>IF(C105&gt;0,(C105*1),0)</f>
        <v>0</v>
      </c>
      <c r="I105" s="151" t="e">
        <f>(#REF!+D107)*2</f>
        <v>#REF!</v>
      </c>
      <c r="J105" s="163" t="s">
        <v>164</v>
      </c>
      <c r="K105" s="162">
        <f>IF(C105&gt;0,0,D105)</f>
        <v>0</v>
      </c>
    </row>
    <row r="106" spans="1:11" s="144" customFormat="1" ht="24.75" customHeight="1">
      <c r="A106" s="381"/>
      <c r="B106" s="419" t="s">
        <v>294</v>
      </c>
      <c r="C106" s="427"/>
      <c r="D106" s="420">
        <f>(C106/3)*0.5</f>
        <v>0</v>
      </c>
      <c r="E106" s="420">
        <f>D106*0.5</f>
        <v>0</v>
      </c>
      <c r="F106" s="256"/>
      <c r="G106" s="256"/>
      <c r="H106" s="389">
        <f>IF(C106&gt;0,C106,0)</f>
        <v>0</v>
      </c>
      <c r="K106" s="162">
        <f>IF(C106&gt;0,0,D106)</f>
        <v>0</v>
      </c>
    </row>
    <row r="107" spans="1:11" s="144" customFormat="1" ht="24.75" customHeight="1" thickBot="1">
      <c r="A107" s="381"/>
      <c r="B107" s="421" t="s">
        <v>293</v>
      </c>
      <c r="C107" s="422">
        <f>C105+C106</f>
        <v>0</v>
      </c>
      <c r="D107" s="423">
        <f>D105+D106</f>
        <v>0</v>
      </c>
      <c r="E107" s="423">
        <f>E105+E106</f>
        <v>0</v>
      </c>
      <c r="F107" s="256"/>
      <c r="G107" s="256"/>
      <c r="H107" s="162"/>
      <c r="K107" s="162"/>
    </row>
    <row r="108" spans="1:11" s="144" customFormat="1" ht="78.75" customHeight="1">
      <c r="A108" s="381"/>
      <c r="B108" s="766" t="s">
        <v>299</v>
      </c>
      <c r="C108" s="767"/>
      <c r="D108" s="767"/>
      <c r="E108" s="767"/>
      <c r="F108" s="767"/>
      <c r="G108" s="767"/>
      <c r="H108" s="162"/>
      <c r="K108" s="162"/>
    </row>
    <row r="109" spans="1:11" s="144" customFormat="1" ht="24.75" customHeight="1" thickBot="1">
      <c r="A109" s="381"/>
      <c r="B109" s="291" t="s">
        <v>302</v>
      </c>
      <c r="C109" s="254"/>
      <c r="D109" s="255"/>
      <c r="E109" s="254"/>
      <c r="F109" s="254"/>
      <c r="G109" s="254"/>
      <c r="H109" s="165"/>
      <c r="I109" s="164"/>
      <c r="J109" s="164"/>
      <c r="K109" s="164"/>
    </row>
    <row r="110" spans="1:33" s="144" customFormat="1" ht="24.75" customHeight="1" thickBot="1">
      <c r="A110" s="381"/>
      <c r="B110" s="395" t="str">
        <f>B74</f>
        <v>Semester Genap 2018/2019</v>
      </c>
      <c r="C110" s="396" t="s">
        <v>163</v>
      </c>
      <c r="D110" s="397" t="s">
        <v>296</v>
      </c>
      <c r="E110" s="397" t="s">
        <v>297</v>
      </c>
      <c r="F110" s="238"/>
      <c r="G110" s="727" t="s">
        <v>280</v>
      </c>
      <c r="H110" s="728"/>
      <c r="I110" s="728"/>
      <c r="J110" s="728"/>
      <c r="K110" s="728"/>
      <c r="L110" s="728"/>
      <c r="M110" s="728"/>
      <c r="N110" s="728"/>
      <c r="O110" s="728"/>
      <c r="P110" s="728"/>
      <c r="Q110" s="728"/>
      <c r="R110" s="728"/>
      <c r="S110" s="728"/>
      <c r="T110" s="728"/>
      <c r="U110" s="728"/>
      <c r="V110" s="728"/>
      <c r="W110" s="728"/>
      <c r="X110" s="728"/>
      <c r="Y110" s="728"/>
      <c r="Z110" s="728"/>
      <c r="AA110" s="728"/>
      <c r="AB110" s="728"/>
      <c r="AC110" s="728"/>
      <c r="AD110" s="728"/>
      <c r="AE110" s="728"/>
      <c r="AF110" s="728"/>
      <c r="AG110" s="729"/>
    </row>
    <row r="111" spans="1:33" s="144" customFormat="1" ht="24.75" customHeight="1" thickBot="1">
      <c r="A111" s="381"/>
      <c r="B111" s="400" t="s">
        <v>292</v>
      </c>
      <c r="C111" s="392"/>
      <c r="D111" s="404">
        <f>C111/2</f>
        <v>0</v>
      </c>
      <c r="E111" s="404">
        <f>D111*1</f>
        <v>0</v>
      </c>
      <c r="F111" s="391"/>
      <c r="G111" s="430" t="s">
        <v>115</v>
      </c>
      <c r="H111" s="162">
        <f>IF(C111&gt;0,(C111*1),0)</f>
        <v>0</v>
      </c>
      <c r="I111" s="151" t="e">
        <f>(#REF!+D113)*2</f>
        <v>#REF!</v>
      </c>
      <c r="J111" s="163" t="s">
        <v>164</v>
      </c>
      <c r="K111" s="162">
        <f>IF(C111&gt;0,0,D111)</f>
        <v>0</v>
      </c>
      <c r="AE111" s="366" t="s">
        <v>287</v>
      </c>
      <c r="AF111" s="304" t="s">
        <v>9</v>
      </c>
      <c r="AG111" s="429"/>
    </row>
    <row r="112" spans="1:33" s="144" customFormat="1" ht="24.75" customHeight="1" thickBot="1">
      <c r="A112" s="381"/>
      <c r="B112" s="400" t="s">
        <v>294</v>
      </c>
      <c r="C112" s="392"/>
      <c r="D112" s="404">
        <f>(C112/2)*0.5</f>
        <v>0</v>
      </c>
      <c r="E112" s="404">
        <f>D112*0.5</f>
        <v>0</v>
      </c>
      <c r="F112" s="256"/>
      <c r="G112" s="438">
        <f>E117+E113+E107+E103+E97+E93</f>
        <v>0</v>
      </c>
      <c r="H112" s="435">
        <f>IF(C112&gt;0,C112,0)</f>
        <v>0</v>
      </c>
      <c r="I112" s="436"/>
      <c r="J112" s="436"/>
      <c r="K112" s="435">
        <f>IF(C112&gt;0,0,D112)</f>
        <v>0</v>
      </c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6"/>
      <c r="Y112" s="436"/>
      <c r="Z112" s="436"/>
      <c r="AA112" s="436"/>
      <c r="AB112" s="436"/>
      <c r="AC112" s="436"/>
      <c r="AD112" s="436"/>
      <c r="AE112" s="437">
        <f>C93+C97+C103+C107+C113+C117</f>
        <v>0</v>
      </c>
      <c r="AF112" s="368">
        <f>AF90+AF91</f>
        <v>0</v>
      </c>
      <c r="AG112" s="309" t="s">
        <v>279</v>
      </c>
    </row>
    <row r="113" spans="1:31" s="144" customFormat="1" ht="24.75" customHeight="1" thickBot="1">
      <c r="A113" s="381"/>
      <c r="B113" s="402" t="s">
        <v>293</v>
      </c>
      <c r="C113" s="403">
        <f>C111+C112</f>
        <v>0</v>
      </c>
      <c r="D113" s="405">
        <f>D111+D112</f>
        <v>0</v>
      </c>
      <c r="E113" s="405">
        <f>E111+E112</f>
        <v>0</v>
      </c>
      <c r="F113" s="256"/>
      <c r="G113" s="256"/>
      <c r="H113" s="162"/>
      <c r="I113" s="148"/>
      <c r="J113" s="148"/>
      <c r="K113" s="162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431"/>
    </row>
    <row r="114" spans="1:31" s="144" customFormat="1" ht="24.75" customHeight="1">
      <c r="A114" s="381"/>
      <c r="B114" s="416" t="str">
        <f>B75</f>
        <v>Semester Gasal 2019/2020</v>
      </c>
      <c r="C114" s="417" t="s">
        <v>163</v>
      </c>
      <c r="D114" s="418" t="s">
        <v>296</v>
      </c>
      <c r="E114" s="418" t="s">
        <v>297</v>
      </c>
      <c r="F114" s="238"/>
      <c r="G114" s="238"/>
      <c r="H114" s="147"/>
      <c r="I114" s="147"/>
      <c r="J114" s="147"/>
      <c r="K114" s="147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431"/>
    </row>
    <row r="115" spans="1:31" s="144" customFormat="1" ht="24.75" customHeight="1">
      <c r="A115" s="381"/>
      <c r="B115" s="419" t="s">
        <v>292</v>
      </c>
      <c r="C115" s="392"/>
      <c r="D115" s="420">
        <f>C115/2</f>
        <v>0</v>
      </c>
      <c r="E115" s="420">
        <f>D115*1</f>
        <v>0</v>
      </c>
      <c r="F115" s="391"/>
      <c r="G115" s="256"/>
      <c r="H115" s="162"/>
      <c r="I115" s="432"/>
      <c r="J115" s="433"/>
      <c r="K115" s="162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434"/>
    </row>
    <row r="116" spans="1:11" s="144" customFormat="1" ht="24.75" customHeight="1">
      <c r="A116" s="381"/>
      <c r="B116" s="419" t="s">
        <v>294</v>
      </c>
      <c r="C116" s="392"/>
      <c r="D116" s="420">
        <f>(C116/2)*0.5</f>
        <v>0</v>
      </c>
      <c r="E116" s="420">
        <f>D116*0.5</f>
        <v>0</v>
      </c>
      <c r="F116" s="256"/>
      <c r="G116" s="256"/>
      <c r="H116" s="428">
        <f>IF(C116&gt;0,C116,0)</f>
        <v>0</v>
      </c>
      <c r="K116" s="162">
        <f>IF(C116&gt;0,0,D116)</f>
        <v>0</v>
      </c>
    </row>
    <row r="117" spans="1:11" s="144" customFormat="1" ht="24.75" customHeight="1" thickBot="1">
      <c r="A117" s="381"/>
      <c r="B117" s="421" t="s">
        <v>293</v>
      </c>
      <c r="C117" s="422">
        <f>C115+C116</f>
        <v>0</v>
      </c>
      <c r="D117" s="423">
        <f>D115+D116</f>
        <v>0</v>
      </c>
      <c r="E117" s="423">
        <f>E115+E116</f>
        <v>0</v>
      </c>
      <c r="F117" s="256"/>
      <c r="G117" s="256"/>
      <c r="H117" s="162"/>
      <c r="K117" s="162"/>
    </row>
    <row r="118" spans="1:11" s="144" customFormat="1" ht="71.25" customHeight="1">
      <c r="A118" s="381"/>
      <c r="B118" s="766" t="s">
        <v>300</v>
      </c>
      <c r="C118" s="767"/>
      <c r="D118" s="767"/>
      <c r="E118" s="767"/>
      <c r="F118" s="767"/>
      <c r="G118" s="767"/>
      <c r="H118" s="162"/>
      <c r="K118" s="162"/>
    </row>
    <row r="119" spans="1:7" s="455" customFormat="1" ht="24.75" customHeight="1">
      <c r="A119" s="451">
        <v>5</v>
      </c>
      <c r="B119" s="452" t="s">
        <v>80</v>
      </c>
      <c r="C119" s="453"/>
      <c r="D119" s="453"/>
      <c r="E119" s="453"/>
      <c r="F119" s="454"/>
      <c r="G119" s="451"/>
    </row>
    <row r="120" spans="1:7" s="144" customFormat="1" ht="24.75" customHeight="1" thickBot="1">
      <c r="A120" s="408"/>
      <c r="B120" s="252"/>
      <c r="C120" s="252"/>
      <c r="D120" s="252"/>
      <c r="E120" s="252"/>
      <c r="F120" s="252"/>
      <c r="G120" s="443"/>
    </row>
    <row r="121" spans="1:7" s="144" customFormat="1" ht="24.75" customHeight="1">
      <c r="A121" s="408"/>
      <c r="B121" s="771" t="s">
        <v>169</v>
      </c>
      <c r="C121" s="773" t="s">
        <v>168</v>
      </c>
      <c r="D121" s="774"/>
      <c r="E121" s="752"/>
      <c r="F121" s="753"/>
      <c r="G121" s="753"/>
    </row>
    <row r="122" spans="1:7" s="144" customFormat="1" ht="42" customHeight="1" thickBot="1">
      <c r="A122" s="408"/>
      <c r="B122" s="772"/>
      <c r="C122" s="383" t="s">
        <v>167</v>
      </c>
      <c r="D122" s="251" t="s">
        <v>166</v>
      </c>
      <c r="E122" s="752"/>
      <c r="F122" s="457"/>
      <c r="G122" s="457"/>
    </row>
    <row r="123" spans="1:8" s="144" customFormat="1" ht="24.75" customHeight="1">
      <c r="A123" s="408"/>
      <c r="B123" s="456" t="str">
        <f>B74</f>
        <v>Semester Genap 2018/2019</v>
      </c>
      <c r="C123" s="396" t="s">
        <v>163</v>
      </c>
      <c r="D123" s="467" t="s">
        <v>297</v>
      </c>
      <c r="E123" s="390"/>
      <c r="F123" s="458"/>
      <c r="G123" s="458"/>
      <c r="H123" s="144" t="s">
        <v>165</v>
      </c>
    </row>
    <row r="124" spans="1:11" s="144" customFormat="1" ht="24.75" customHeight="1">
      <c r="A124" s="408"/>
      <c r="B124" s="400" t="s">
        <v>305</v>
      </c>
      <c r="C124" s="188"/>
      <c r="D124" s="461">
        <f>C124</f>
        <v>0</v>
      </c>
      <c r="E124" s="256"/>
      <c r="F124" s="391"/>
      <c r="G124" s="391"/>
      <c r="H124" s="159">
        <f aca="true" t="shared" si="6" ref="H124:H129">IF(C124&gt;0,C124,0)</f>
        <v>0</v>
      </c>
      <c r="I124" s="151" t="e">
        <f>(#REF!+#REF!)*1</f>
        <v>#REF!</v>
      </c>
      <c r="J124" s="144" t="s">
        <v>164</v>
      </c>
      <c r="K124" s="159">
        <f aca="true" t="shared" si="7" ref="K124:K129">IF(C124&gt;0,0,D124)</f>
        <v>0</v>
      </c>
    </row>
    <row r="125" spans="1:11" s="144" customFormat="1" ht="24.75" customHeight="1">
      <c r="A125" s="408"/>
      <c r="B125" s="400" t="s">
        <v>306</v>
      </c>
      <c r="C125" s="188"/>
      <c r="D125" s="286">
        <f>C125*0.5</f>
        <v>0</v>
      </c>
      <c r="E125" s="256"/>
      <c r="F125" s="391"/>
      <c r="G125" s="391"/>
      <c r="H125" s="159">
        <f t="shared" si="6"/>
        <v>0</v>
      </c>
      <c r="I125" s="145"/>
      <c r="K125" s="159">
        <f t="shared" si="7"/>
        <v>0</v>
      </c>
    </row>
    <row r="126" spans="1:11" s="144" customFormat="1" ht="24.75" customHeight="1">
      <c r="A126" s="408"/>
      <c r="B126" s="468" t="s">
        <v>307</v>
      </c>
      <c r="C126" s="285">
        <f>C124+C125</f>
        <v>0</v>
      </c>
      <c r="D126" s="286">
        <f>D124+D125</f>
        <v>0</v>
      </c>
      <c r="E126" s="256"/>
      <c r="F126" s="391"/>
      <c r="G126" s="391"/>
      <c r="H126" s="159">
        <f t="shared" si="6"/>
        <v>0</v>
      </c>
      <c r="I126" s="161" t="e">
        <f>1*(#REF!+#REF!)</f>
        <v>#REF!</v>
      </c>
      <c r="J126" s="144" t="s">
        <v>164</v>
      </c>
      <c r="K126" s="159">
        <f t="shared" si="7"/>
        <v>0</v>
      </c>
    </row>
    <row r="127" spans="1:32" s="144" customFormat="1" ht="24.75" customHeight="1" thickBot="1">
      <c r="A127" s="408"/>
      <c r="B127" s="472"/>
      <c r="C127" s="360"/>
      <c r="D127" s="326"/>
      <c r="E127" s="256"/>
      <c r="F127" s="391"/>
      <c r="G127" s="256"/>
      <c r="H127" s="159">
        <f t="shared" si="6"/>
        <v>0</v>
      </c>
      <c r="I127" s="160"/>
      <c r="J127" s="158"/>
      <c r="K127" s="159">
        <f t="shared" si="7"/>
        <v>0</v>
      </c>
      <c r="AE127" s="294">
        <f>IF(C124+C125&gt;=1,1,0)</f>
        <v>0</v>
      </c>
      <c r="AF127" s="294">
        <f>AE127*6</f>
        <v>0</v>
      </c>
    </row>
    <row r="128" spans="1:32" s="144" customFormat="1" ht="24.75" customHeight="1">
      <c r="A128" s="408"/>
      <c r="B128" s="497" t="str">
        <f>B75</f>
        <v>Semester Gasal 2019/2020</v>
      </c>
      <c r="C128" s="498" t="s">
        <v>163</v>
      </c>
      <c r="D128" s="499" t="s">
        <v>297</v>
      </c>
      <c r="E128" s="459"/>
      <c r="F128" s="471" t="s">
        <v>304</v>
      </c>
      <c r="G128" s="460"/>
      <c r="H128" s="159" t="str">
        <f t="shared" si="6"/>
        <v>JML MHS</v>
      </c>
      <c r="K128" s="159">
        <f t="shared" si="7"/>
        <v>0</v>
      </c>
      <c r="AE128" s="294">
        <f>IF(C129+C130&gt;=1,1,0)</f>
        <v>0</v>
      </c>
      <c r="AF128" s="294">
        <f>AE128*6</f>
        <v>0</v>
      </c>
    </row>
    <row r="129" spans="1:11" s="144" customFormat="1" ht="24.75" customHeight="1" thickBot="1">
      <c r="A129" s="408"/>
      <c r="B129" s="419" t="s">
        <v>309</v>
      </c>
      <c r="C129" s="188"/>
      <c r="D129" s="500">
        <f>C129</f>
        <v>0</v>
      </c>
      <c r="E129" s="256"/>
      <c r="F129" s="391"/>
      <c r="G129" s="391"/>
      <c r="H129" s="159">
        <f t="shared" si="6"/>
        <v>0</v>
      </c>
      <c r="K129" s="159">
        <f t="shared" si="7"/>
        <v>0</v>
      </c>
    </row>
    <row r="130" spans="1:33" s="144" customFormat="1" ht="24.75" customHeight="1" thickBot="1">
      <c r="A130" s="408"/>
      <c r="B130" s="419" t="s">
        <v>310</v>
      </c>
      <c r="C130" s="188"/>
      <c r="D130" s="501">
        <f>C130*0.5</f>
        <v>0</v>
      </c>
      <c r="E130" s="256"/>
      <c r="F130" s="391"/>
      <c r="G130" s="252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464"/>
      <c r="AA130" s="464"/>
      <c r="AB130" s="464"/>
      <c r="AC130" s="464"/>
      <c r="AD130" s="464"/>
      <c r="AE130" s="727" t="s">
        <v>280</v>
      </c>
      <c r="AF130" s="728"/>
      <c r="AG130" s="729"/>
    </row>
    <row r="131" spans="1:33" s="144" customFormat="1" ht="24.75" customHeight="1" thickBot="1">
      <c r="A131" s="408"/>
      <c r="B131" s="502" t="s">
        <v>308</v>
      </c>
      <c r="C131" s="503">
        <f>C129+C130</f>
        <v>0</v>
      </c>
      <c r="D131" s="501">
        <f>D129+D130</f>
        <v>0</v>
      </c>
      <c r="E131" s="256"/>
      <c r="F131" s="391"/>
      <c r="G131" s="415"/>
      <c r="H131" s="162">
        <f>IF(C131&gt;0,C131,0)</f>
        <v>0</v>
      </c>
      <c r="I131" s="148"/>
      <c r="J131" s="148"/>
      <c r="K131" s="162">
        <f>IF(C131&gt;0,0,D131)</f>
        <v>0</v>
      </c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437" t="s">
        <v>287</v>
      </c>
      <c r="AF131" s="742" t="s">
        <v>9</v>
      </c>
      <c r="AG131" s="743"/>
    </row>
    <row r="132" spans="1:33" s="144" customFormat="1" ht="24.75" customHeight="1" thickBot="1">
      <c r="A132" s="408"/>
      <c r="B132" s="250"/>
      <c r="C132" s="285"/>
      <c r="D132" s="286"/>
      <c r="E132" s="256"/>
      <c r="F132" s="391"/>
      <c r="G132" s="391"/>
      <c r="H132" s="159"/>
      <c r="K132" s="159"/>
      <c r="AE132" s="470">
        <f>C133</f>
        <v>0</v>
      </c>
      <c r="AF132" s="466">
        <f>AF127+AF128</f>
        <v>0</v>
      </c>
      <c r="AG132" s="465" t="s">
        <v>279</v>
      </c>
    </row>
    <row r="133" spans="1:33" s="144" customFormat="1" ht="24.75" customHeight="1" thickBot="1">
      <c r="A133" s="408"/>
      <c r="B133" s="474" t="s">
        <v>311</v>
      </c>
      <c r="C133" s="285">
        <f>C131+C126</f>
        <v>0</v>
      </c>
      <c r="D133" s="469">
        <f>D131+D126</f>
        <v>0</v>
      </c>
      <c r="E133" s="256"/>
      <c r="F133" s="391"/>
      <c r="G133" s="415"/>
      <c r="H133" s="162">
        <f>IF(C133&gt;0,C133,0)</f>
        <v>0</v>
      </c>
      <c r="I133" s="148"/>
      <c r="J133" s="148"/>
      <c r="K133" s="162">
        <f>IF(C133&gt;0,0,D133)</f>
        <v>0</v>
      </c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431"/>
      <c r="AF133" s="463"/>
      <c r="AG133" s="322"/>
    </row>
    <row r="134" spans="1:33" s="144" customFormat="1" ht="24.75" customHeight="1" thickBot="1">
      <c r="A134" s="408"/>
      <c r="B134" s="473"/>
      <c r="C134" s="288"/>
      <c r="D134" s="289"/>
      <c r="E134" s="256"/>
      <c r="F134" s="391"/>
      <c r="G134" s="391"/>
      <c r="H134" s="159"/>
      <c r="K134" s="159"/>
      <c r="AE134" s="462"/>
      <c r="AF134" s="303"/>
      <c r="AG134" s="148"/>
    </row>
    <row r="135" spans="1:7" s="144" customFormat="1" ht="50.25" customHeight="1">
      <c r="A135" s="408"/>
      <c r="B135" s="766" t="s">
        <v>303</v>
      </c>
      <c r="C135" s="767"/>
      <c r="D135" s="767"/>
      <c r="E135" s="767"/>
      <c r="F135" s="767"/>
      <c r="G135" s="767"/>
    </row>
    <row r="136" spans="1:7" s="144" customFormat="1" ht="24.75" customHeight="1">
      <c r="A136" s="381"/>
      <c r="B136" s="254"/>
      <c r="C136" s="254"/>
      <c r="D136" s="254"/>
      <c r="E136" s="254"/>
      <c r="F136" s="254"/>
      <c r="G136" s="254"/>
    </row>
    <row r="137" spans="1:8" s="144" customFormat="1" ht="24.75" customHeight="1">
      <c r="A137" s="321">
        <v>6</v>
      </c>
      <c r="B137" s="483" t="s">
        <v>74</v>
      </c>
      <c r="C137" s="320"/>
      <c r="D137" s="320"/>
      <c r="E137" s="320"/>
      <c r="F137" s="320"/>
      <c r="G137" s="318"/>
      <c r="H137" s="144" t="s">
        <v>20</v>
      </c>
    </row>
    <row r="138" spans="1:7" s="144" customFormat="1" ht="24.75" customHeight="1" thickBot="1">
      <c r="A138" s="381"/>
      <c r="B138" s="254" t="s">
        <v>162</v>
      </c>
      <c r="C138" s="254"/>
      <c r="D138" s="254"/>
      <c r="E138" s="254"/>
      <c r="F138" s="254"/>
      <c r="G138" s="254"/>
    </row>
    <row r="139" spans="1:7" s="144" customFormat="1" ht="24.75" customHeight="1" thickBot="1">
      <c r="A139" s="381"/>
      <c r="B139" s="254"/>
      <c r="C139" s="254"/>
      <c r="D139" s="254"/>
      <c r="E139" s="763" t="s">
        <v>280</v>
      </c>
      <c r="F139" s="764"/>
      <c r="G139" s="765"/>
    </row>
    <row r="140" spans="1:31" s="144" customFormat="1" ht="89.25" customHeight="1" thickBot="1">
      <c r="A140" s="381"/>
      <c r="B140" s="476" t="s">
        <v>351</v>
      </c>
      <c r="C140" s="477" t="str">
        <f>CONCATENATE("JUMLAH KEGIATAN pada ",B123)</f>
        <v>JUMLAH KEGIATAN pada Semester Genap 2018/2019</v>
      </c>
      <c r="D140" s="518" t="str">
        <f>CONCATENATE("JUMLAH KEGIATAN pada ",B128)</f>
        <v>JUMLAH KEGIATAN pada Semester Gasal 2019/2020</v>
      </c>
      <c r="E140" s="494" t="s">
        <v>235</v>
      </c>
      <c r="F140" s="495" t="s">
        <v>312</v>
      </c>
      <c r="G140" s="496" t="s">
        <v>9</v>
      </c>
      <c r="H140" s="305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480"/>
      <c r="AE140" s="148"/>
    </row>
    <row r="141" spans="1:31" s="144" customFormat="1" ht="24.75" customHeight="1" thickBot="1">
      <c r="A141" s="381"/>
      <c r="B141" s="479" t="s">
        <v>352</v>
      </c>
      <c r="C141" s="145"/>
      <c r="D141" s="486"/>
      <c r="E141" s="491">
        <f aca="true" t="shared" si="8" ref="E141:E147">IF(SUM(C141:D141)&gt;=1,1,0)</f>
        <v>0</v>
      </c>
      <c r="F141" s="492">
        <f aca="true" t="shared" si="9" ref="F141:F147">2*(C141+D141)</f>
        <v>0</v>
      </c>
      <c r="G141" s="493"/>
      <c r="H141" s="305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480"/>
      <c r="AE141" s="148"/>
    </row>
    <row r="142" spans="1:31" s="144" customFormat="1" ht="24.75" customHeight="1">
      <c r="A142" s="381"/>
      <c r="B142" s="400" t="s">
        <v>349</v>
      </c>
      <c r="C142" s="478"/>
      <c r="D142" s="487"/>
      <c r="E142" s="488">
        <f t="shared" si="8"/>
        <v>0</v>
      </c>
      <c r="F142" s="393">
        <f t="shared" si="9"/>
        <v>0</v>
      </c>
      <c r="G142" s="399"/>
      <c r="AE142" s="148"/>
    </row>
    <row r="143" spans="1:31" s="144" customFormat="1" ht="24.75" customHeight="1" thickBot="1">
      <c r="A143" s="381"/>
      <c r="B143" s="400" t="s">
        <v>350</v>
      </c>
      <c r="C143" s="478"/>
      <c r="D143" s="487"/>
      <c r="E143" s="488">
        <f t="shared" si="8"/>
        <v>0</v>
      </c>
      <c r="F143" s="393">
        <f t="shared" si="9"/>
        <v>0</v>
      </c>
      <c r="G143" s="399"/>
      <c r="AE143" s="148"/>
    </row>
    <row r="144" spans="1:31" s="144" customFormat="1" ht="24.75" customHeight="1" thickBot="1">
      <c r="A144" s="381"/>
      <c r="B144" s="400"/>
      <c r="C144" s="478"/>
      <c r="D144" s="487"/>
      <c r="E144" s="488">
        <f t="shared" si="8"/>
        <v>0</v>
      </c>
      <c r="F144" s="393">
        <f t="shared" si="9"/>
        <v>0</v>
      </c>
      <c r="G144" s="401"/>
      <c r="H144" s="305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480"/>
      <c r="AE144" s="148"/>
    </row>
    <row r="145" spans="1:31" s="144" customFormat="1" ht="24.75" customHeight="1">
      <c r="A145" s="381"/>
      <c r="B145" s="400"/>
      <c r="C145" s="478"/>
      <c r="D145" s="487"/>
      <c r="E145" s="488">
        <f t="shared" si="8"/>
        <v>0</v>
      </c>
      <c r="F145" s="393">
        <f t="shared" si="9"/>
        <v>0</v>
      </c>
      <c r="G145" s="399"/>
      <c r="AE145" s="148" t="s">
        <v>304</v>
      </c>
    </row>
    <row r="146" spans="1:31" s="144" customFormat="1" ht="24.75" customHeight="1">
      <c r="A146" s="381"/>
      <c r="B146" s="400"/>
      <c r="C146" s="478"/>
      <c r="D146" s="487"/>
      <c r="E146" s="488">
        <f t="shared" si="8"/>
        <v>0</v>
      </c>
      <c r="F146" s="393">
        <f t="shared" si="9"/>
        <v>0</v>
      </c>
      <c r="G146" s="399"/>
      <c r="AE146" s="148"/>
    </row>
    <row r="147" spans="1:31" s="144" customFormat="1" ht="24.75" customHeight="1">
      <c r="A147" s="381"/>
      <c r="B147" s="400"/>
      <c r="C147" s="478"/>
      <c r="D147" s="487"/>
      <c r="E147" s="488">
        <f t="shared" si="8"/>
        <v>0</v>
      </c>
      <c r="F147" s="393">
        <f t="shared" si="9"/>
        <v>0</v>
      </c>
      <c r="G147" s="399"/>
      <c r="AE147" s="148"/>
    </row>
    <row r="148" spans="1:31" s="144" customFormat="1" ht="24.75" customHeight="1" thickBot="1">
      <c r="A148" s="381"/>
      <c r="B148" s="485" t="s">
        <v>41</v>
      </c>
      <c r="C148" s="403">
        <f>IF(SUM(C141:C147)&gt;=1,1,0)</f>
        <v>0</v>
      </c>
      <c r="D148" s="482">
        <f>IF(SUM(D141:D147)&gt;=1,1,0)</f>
        <v>0</v>
      </c>
      <c r="E148" s="489">
        <f>SUM(E141:E147)</f>
        <v>0</v>
      </c>
      <c r="F148" s="484">
        <f>SUM(F141:F147)</f>
        <v>0</v>
      </c>
      <c r="G148" s="490">
        <f>IF((C148+D148)=0,0,IF((C148+D148)&gt;=2,12,6))</f>
        <v>0</v>
      </c>
      <c r="AE148" s="148"/>
    </row>
    <row r="149" spans="1:7" s="144" customFormat="1" ht="24.75" customHeight="1">
      <c r="A149" s="408"/>
      <c r="B149" s="766" t="s">
        <v>313</v>
      </c>
      <c r="C149" s="767"/>
      <c r="D149" s="767"/>
      <c r="E149" s="767"/>
      <c r="F149" s="767"/>
      <c r="G149" s="767"/>
    </row>
    <row r="150" spans="1:7" s="144" customFormat="1" ht="24.75" customHeight="1">
      <c r="A150" s="381"/>
      <c r="B150" s="254"/>
      <c r="C150" s="254"/>
      <c r="D150" s="254"/>
      <c r="E150" s="254"/>
      <c r="F150" s="254"/>
      <c r="G150" s="254"/>
    </row>
    <row r="151" spans="1:7" s="144" customFormat="1" ht="24.75" customHeight="1">
      <c r="A151" s="447">
        <v>7</v>
      </c>
      <c r="B151" s="311" t="s">
        <v>319</v>
      </c>
      <c r="C151" s="255"/>
      <c r="D151" s="255"/>
      <c r="E151" s="255"/>
      <c r="F151" s="255"/>
      <c r="G151" s="253"/>
    </row>
    <row r="152" spans="1:7" s="144" customFormat="1" ht="24.75" customHeight="1" thickBot="1">
      <c r="A152" s="381"/>
      <c r="B152" s="255" t="str">
        <f>B123</f>
        <v>Semester Genap 2018/2019</v>
      </c>
      <c r="C152" s="254"/>
      <c r="D152" s="254"/>
      <c r="E152" s="254"/>
      <c r="F152" s="254"/>
      <c r="G152" s="254"/>
    </row>
    <row r="153" spans="1:7" s="144" customFormat="1" ht="34.5" customHeight="1">
      <c r="A153" s="381"/>
      <c r="B153" s="386" t="s">
        <v>160</v>
      </c>
      <c r="C153" s="248" t="s">
        <v>158</v>
      </c>
      <c r="D153" s="248" t="s">
        <v>159</v>
      </c>
      <c r="E153" s="249" t="s">
        <v>115</v>
      </c>
      <c r="F153" s="252"/>
      <c r="G153" s="254"/>
    </row>
    <row r="154" spans="1:7" s="144" customFormat="1" ht="24.75" customHeight="1">
      <c r="A154" s="381"/>
      <c r="B154" s="250" t="s">
        <v>157</v>
      </c>
      <c r="C154" s="285">
        <v>20</v>
      </c>
      <c r="D154" s="188"/>
      <c r="E154" s="286">
        <f aca="true" t="shared" si="10" ref="E154:E161">D154*C154</f>
        <v>0</v>
      </c>
      <c r="F154" s="252"/>
      <c r="G154" s="254"/>
    </row>
    <row r="155" spans="1:7" s="144" customFormat="1" ht="24.75" customHeight="1">
      <c r="A155" s="381"/>
      <c r="B155" s="250" t="s">
        <v>156</v>
      </c>
      <c r="C155" s="285">
        <v>5</v>
      </c>
      <c r="D155" s="188"/>
      <c r="E155" s="286">
        <f t="shared" si="10"/>
        <v>0</v>
      </c>
      <c r="F155" s="252"/>
      <c r="G155" s="254"/>
    </row>
    <row r="156" spans="1:10" s="144" customFormat="1" ht="24.75" customHeight="1">
      <c r="A156" s="381"/>
      <c r="B156" s="250" t="s">
        <v>161</v>
      </c>
      <c r="C156" s="285">
        <v>5</v>
      </c>
      <c r="D156" s="188"/>
      <c r="E156" s="286">
        <f t="shared" si="10"/>
        <v>0</v>
      </c>
      <c r="F156" s="252"/>
      <c r="G156" s="254"/>
      <c r="I156" s="155">
        <f>10*C163</f>
        <v>0</v>
      </c>
      <c r="J156" s="144" t="s">
        <v>140</v>
      </c>
    </row>
    <row r="157" spans="1:7" s="144" customFormat="1" ht="24.75" customHeight="1">
      <c r="A157" s="381"/>
      <c r="B157" s="250" t="s">
        <v>154</v>
      </c>
      <c r="C157" s="285">
        <v>5</v>
      </c>
      <c r="D157" s="188"/>
      <c r="E157" s="286">
        <f t="shared" si="10"/>
        <v>0</v>
      </c>
      <c r="F157" s="252"/>
      <c r="G157" s="254"/>
    </row>
    <row r="158" spans="1:7" s="144" customFormat="1" ht="24.75" customHeight="1">
      <c r="A158" s="381"/>
      <c r="B158" s="250" t="s">
        <v>153</v>
      </c>
      <c r="C158" s="285">
        <v>5</v>
      </c>
      <c r="D158" s="188"/>
      <c r="E158" s="286">
        <f t="shared" si="10"/>
        <v>0</v>
      </c>
      <c r="F158" s="252"/>
      <c r="G158" s="254"/>
    </row>
    <row r="159" spans="1:7" s="144" customFormat="1" ht="24.75" customHeight="1">
      <c r="A159" s="381"/>
      <c r="B159" s="250" t="s">
        <v>152</v>
      </c>
      <c r="C159" s="285">
        <v>5</v>
      </c>
      <c r="D159" s="188"/>
      <c r="E159" s="286">
        <f t="shared" si="10"/>
        <v>0</v>
      </c>
      <c r="F159" s="252"/>
      <c r="G159" s="254"/>
    </row>
    <row r="160" spans="1:7" s="144" customFormat="1" ht="24.75" customHeight="1">
      <c r="A160" s="381"/>
      <c r="B160" s="250" t="s">
        <v>151</v>
      </c>
      <c r="C160" s="285">
        <v>5</v>
      </c>
      <c r="D160" s="188"/>
      <c r="E160" s="286">
        <f t="shared" si="10"/>
        <v>0</v>
      </c>
      <c r="F160" s="252"/>
      <c r="G160" s="254"/>
    </row>
    <row r="161" spans="1:7" s="144" customFormat="1" ht="24.75" customHeight="1">
      <c r="A161" s="381"/>
      <c r="B161" s="250" t="s">
        <v>150</v>
      </c>
      <c r="C161" s="285">
        <v>5</v>
      </c>
      <c r="D161" s="188"/>
      <c r="E161" s="286">
        <f t="shared" si="10"/>
        <v>0</v>
      </c>
      <c r="F161" s="252"/>
      <c r="G161" s="254"/>
    </row>
    <row r="162" spans="1:7" s="144" customFormat="1" ht="24.75" customHeight="1">
      <c r="A162" s="381"/>
      <c r="B162" s="250"/>
      <c r="C162" s="285"/>
      <c r="D162" s="384"/>
      <c r="E162" s="385"/>
      <c r="F162" s="254"/>
      <c r="G162" s="254"/>
    </row>
    <row r="163" spans="1:7" s="144" customFormat="1" ht="24.75" customHeight="1" thickBot="1">
      <c r="A163" s="381"/>
      <c r="B163" s="444" t="s">
        <v>41</v>
      </c>
      <c r="C163" s="445">
        <f>SUM(D154:D161)</f>
        <v>0</v>
      </c>
      <c r="D163" s="526"/>
      <c r="E163" s="446">
        <f>SUM(E154:E161)</f>
        <v>0</v>
      </c>
      <c r="F163" s="254"/>
      <c r="G163" s="254"/>
    </row>
    <row r="164" spans="1:7" s="144" customFormat="1" ht="24.75" customHeight="1">
      <c r="A164" s="381"/>
      <c r="B164" s="254"/>
      <c r="C164" s="254"/>
      <c r="D164" s="254"/>
      <c r="E164" s="254"/>
      <c r="F164" s="254"/>
      <c r="G164" s="254"/>
    </row>
    <row r="165" spans="1:7" s="144" customFormat="1" ht="24.75" customHeight="1" thickBot="1">
      <c r="A165" s="408"/>
      <c r="B165" s="519" t="str">
        <f>B128</f>
        <v>Semester Gasal 2019/2020</v>
      </c>
      <c r="C165" s="520"/>
      <c r="D165" s="520"/>
      <c r="E165" s="520"/>
      <c r="F165" s="254"/>
      <c r="G165" s="254"/>
    </row>
    <row r="166" spans="1:7" s="144" customFormat="1" ht="34.5" customHeight="1">
      <c r="A166" s="408"/>
      <c r="B166" s="521" t="s">
        <v>160</v>
      </c>
      <c r="C166" s="508" t="s">
        <v>158</v>
      </c>
      <c r="D166" s="508" t="s">
        <v>159</v>
      </c>
      <c r="E166" s="509" t="s">
        <v>115</v>
      </c>
      <c r="F166" s="252"/>
      <c r="G166" s="254"/>
    </row>
    <row r="167" spans="1:7" s="144" customFormat="1" ht="24.75" customHeight="1">
      <c r="A167" s="408"/>
      <c r="B167" s="522" t="s">
        <v>157</v>
      </c>
      <c r="C167" s="503">
        <v>20</v>
      </c>
      <c r="D167" s="388"/>
      <c r="E167" s="251">
        <f aca="true" t="shared" si="11" ref="E167:E174">D167*C167</f>
        <v>0</v>
      </c>
      <c r="F167" s="252"/>
      <c r="G167" s="254"/>
    </row>
    <row r="168" spans="1:7" s="144" customFormat="1" ht="24.75" customHeight="1">
      <c r="A168" s="408"/>
      <c r="B168" s="522" t="s">
        <v>156</v>
      </c>
      <c r="C168" s="503">
        <v>5</v>
      </c>
      <c r="D168" s="388"/>
      <c r="E168" s="251">
        <f t="shared" si="11"/>
        <v>0</v>
      </c>
      <c r="F168" s="252"/>
      <c r="G168" s="254"/>
    </row>
    <row r="169" spans="1:10" s="144" customFormat="1" ht="24.75" customHeight="1">
      <c r="A169" s="408"/>
      <c r="B169" s="522" t="s">
        <v>155</v>
      </c>
      <c r="C169" s="503">
        <v>5</v>
      </c>
      <c r="D169" s="388"/>
      <c r="E169" s="251">
        <f t="shared" si="11"/>
        <v>0</v>
      </c>
      <c r="F169" s="252"/>
      <c r="G169" s="254"/>
      <c r="I169" s="154">
        <f>10*D176</f>
        <v>0</v>
      </c>
      <c r="J169" s="144" t="s">
        <v>140</v>
      </c>
    </row>
    <row r="170" spans="1:7" s="144" customFormat="1" ht="24.75" customHeight="1">
      <c r="A170" s="408"/>
      <c r="B170" s="522" t="s">
        <v>154</v>
      </c>
      <c r="C170" s="503">
        <v>5</v>
      </c>
      <c r="D170" s="388"/>
      <c r="E170" s="251">
        <f t="shared" si="11"/>
        <v>0</v>
      </c>
      <c r="F170" s="252"/>
      <c r="G170" s="254"/>
    </row>
    <row r="171" spans="1:7" s="144" customFormat="1" ht="24.75" customHeight="1">
      <c r="A171" s="408"/>
      <c r="B171" s="522" t="s">
        <v>153</v>
      </c>
      <c r="C171" s="503">
        <v>5</v>
      </c>
      <c r="D171" s="388"/>
      <c r="E171" s="251">
        <f t="shared" si="11"/>
        <v>0</v>
      </c>
      <c r="F171" s="252"/>
      <c r="G171" s="254"/>
    </row>
    <row r="172" spans="1:7" s="144" customFormat="1" ht="24.75" customHeight="1">
      <c r="A172" s="408"/>
      <c r="B172" s="522" t="s">
        <v>152</v>
      </c>
      <c r="C172" s="503">
        <v>5</v>
      </c>
      <c r="D172" s="388"/>
      <c r="E172" s="251">
        <f t="shared" si="11"/>
        <v>0</v>
      </c>
      <c r="F172" s="252"/>
      <c r="G172" s="254"/>
    </row>
    <row r="173" spans="1:7" s="144" customFormat="1" ht="24.75" customHeight="1">
      <c r="A173" s="408"/>
      <c r="B173" s="522" t="s">
        <v>151</v>
      </c>
      <c r="C173" s="503">
        <v>5</v>
      </c>
      <c r="D173" s="388"/>
      <c r="E173" s="251">
        <f t="shared" si="11"/>
        <v>0</v>
      </c>
      <c r="F173" s="252"/>
      <c r="G173" s="254"/>
    </row>
    <row r="174" spans="1:7" s="144" customFormat="1" ht="24.75" customHeight="1">
      <c r="A174" s="408"/>
      <c r="B174" s="522" t="s">
        <v>150</v>
      </c>
      <c r="C174" s="503">
        <v>5</v>
      </c>
      <c r="D174" s="388"/>
      <c r="E174" s="251">
        <f t="shared" si="11"/>
        <v>0</v>
      </c>
      <c r="F174" s="252"/>
      <c r="G174" s="254"/>
    </row>
    <row r="175" spans="1:7" s="144" customFormat="1" ht="24.75" customHeight="1">
      <c r="A175" s="408"/>
      <c r="B175" s="522"/>
      <c r="C175" s="523"/>
      <c r="D175" s="503"/>
      <c r="E175" s="524"/>
      <c r="F175" s="252"/>
      <c r="G175" s="254"/>
    </row>
    <row r="176" spans="1:7" s="144" customFormat="1" ht="24.75" customHeight="1" thickBot="1">
      <c r="A176" s="408"/>
      <c r="B176" s="440" t="s">
        <v>41</v>
      </c>
      <c r="C176" s="525"/>
      <c r="D176" s="441">
        <f>SUM(D167:D174)</f>
        <v>0</v>
      </c>
      <c r="E176" s="442">
        <f>SUM(E167:E174)</f>
        <v>0</v>
      </c>
      <c r="F176" s="252"/>
      <c r="G176" s="254"/>
    </row>
    <row r="177" spans="1:7" s="144" customFormat="1" ht="24.75" customHeight="1" thickBot="1">
      <c r="A177" s="408"/>
      <c r="B177" s="254"/>
      <c r="C177" s="254"/>
      <c r="D177" s="254"/>
      <c r="E177" s="254"/>
      <c r="F177" s="254"/>
      <c r="G177" s="254"/>
    </row>
    <row r="178" spans="1:7" s="144" customFormat="1" ht="24.75" customHeight="1" thickBot="1">
      <c r="A178" s="408"/>
      <c r="B178" s="255" t="s">
        <v>94</v>
      </c>
      <c r="C178" s="254"/>
      <c r="D178" s="768" t="s">
        <v>280</v>
      </c>
      <c r="E178" s="769"/>
      <c r="F178" s="770"/>
      <c r="G178" s="254"/>
    </row>
    <row r="179" spans="1:7" s="144" customFormat="1" ht="36" customHeight="1">
      <c r="A179" s="408"/>
      <c r="B179" s="559" t="s">
        <v>93</v>
      </c>
      <c r="C179" s="560" t="s">
        <v>149</v>
      </c>
      <c r="D179" s="564" t="s">
        <v>20</v>
      </c>
      <c r="E179" s="565" t="s">
        <v>316</v>
      </c>
      <c r="F179" s="561" t="s">
        <v>9</v>
      </c>
      <c r="G179" s="254"/>
    </row>
    <row r="180" spans="1:7" s="144" customFormat="1" ht="24.75" customHeight="1" thickBot="1">
      <c r="A180" s="408"/>
      <c r="B180" s="400" t="str">
        <f>B152</f>
        <v>Semester Genap 2018/2019</v>
      </c>
      <c r="C180" s="393">
        <f>C163</f>
        <v>0</v>
      </c>
      <c r="D180" s="393">
        <f>E163</f>
        <v>0</v>
      </c>
      <c r="E180" s="481">
        <f>IF(C180&gt;=1,1,0)</f>
        <v>0</v>
      </c>
      <c r="F180" s="566">
        <f>IF(E182=0,0,IF(E182&gt;=2,12,6))</f>
        <v>0</v>
      </c>
      <c r="G180" s="254"/>
    </row>
    <row r="181" spans="1:7" s="144" customFormat="1" ht="24.75" customHeight="1">
      <c r="A181" s="408"/>
      <c r="B181" s="400" t="str">
        <f>B165</f>
        <v>Semester Gasal 2019/2020</v>
      </c>
      <c r="C181" s="393">
        <f>D176</f>
        <v>0</v>
      </c>
      <c r="D181" s="393">
        <f>E176</f>
        <v>0</v>
      </c>
      <c r="E181" s="401">
        <f>IF(C181&gt;=1,1,0)</f>
        <v>0</v>
      </c>
      <c r="F181" s="254"/>
      <c r="G181" s="254"/>
    </row>
    <row r="182" spans="1:7" s="144" customFormat="1" ht="24.75" customHeight="1" thickBot="1">
      <c r="A182" s="408"/>
      <c r="B182" s="562" t="s">
        <v>41</v>
      </c>
      <c r="C182" s="536">
        <f>SUM(C180:C181)</f>
        <v>0</v>
      </c>
      <c r="D182" s="563">
        <f>SUM(D180:D181)</f>
        <v>0</v>
      </c>
      <c r="E182" s="567">
        <f>SUM(E180:E181)</f>
        <v>0</v>
      </c>
      <c r="F182" s="254"/>
      <c r="G182" s="254"/>
    </row>
    <row r="183" spans="1:7" s="144" customFormat="1" ht="24.75" customHeight="1">
      <c r="A183" s="381"/>
      <c r="B183" s="254"/>
      <c r="C183" s="254"/>
      <c r="D183" s="254"/>
      <c r="E183" s="254"/>
      <c r="F183" s="254"/>
      <c r="G183" s="254"/>
    </row>
    <row r="184" spans="1:11" s="144" customFormat="1" ht="24.75" customHeight="1">
      <c r="A184" s="381"/>
      <c r="B184" s="254"/>
      <c r="C184" s="254"/>
      <c r="D184" s="254"/>
      <c r="E184" s="254"/>
      <c r="F184" s="254"/>
      <c r="G184" s="254"/>
      <c r="H184" s="153"/>
      <c r="I184" s="153"/>
      <c r="J184" s="153"/>
      <c r="K184" s="153"/>
    </row>
    <row r="185" spans="1:11" s="144" customFormat="1" ht="24.75" customHeight="1">
      <c r="A185" s="321">
        <v>8</v>
      </c>
      <c r="B185" s="311" t="s">
        <v>77</v>
      </c>
      <c r="C185" s="255"/>
      <c r="D185" s="255"/>
      <c r="E185" s="255"/>
      <c r="F185" s="255"/>
      <c r="G185" s="255"/>
      <c r="H185" s="152"/>
      <c r="I185" s="152"/>
      <c r="J185" s="152"/>
      <c r="K185" s="152"/>
    </row>
    <row r="186" spans="1:8" s="448" customFormat="1" ht="24.75" customHeight="1" thickBot="1">
      <c r="A186" s="321"/>
      <c r="B186" s="319" t="s">
        <v>78</v>
      </c>
      <c r="C186" s="319"/>
      <c r="D186" s="319"/>
      <c r="E186" s="319"/>
      <c r="F186" s="319"/>
      <c r="G186" s="321"/>
      <c r="H186" s="448" t="s">
        <v>20</v>
      </c>
    </row>
    <row r="187" spans="1:7" s="144" customFormat="1" ht="24.75" customHeight="1" thickBot="1">
      <c r="A187" s="381"/>
      <c r="B187" s="255" t="s">
        <v>320</v>
      </c>
      <c r="C187" s="252"/>
      <c r="D187" s="727" t="s">
        <v>280</v>
      </c>
      <c r="E187" s="728"/>
      <c r="F187" s="729"/>
      <c r="G187" s="254"/>
    </row>
    <row r="188" spans="1:7" s="144" customFormat="1" ht="34.5" customHeight="1">
      <c r="A188" s="381"/>
      <c r="B188" s="386" t="s">
        <v>148</v>
      </c>
      <c r="C188" s="248" t="s">
        <v>147</v>
      </c>
      <c r="D188" s="387" t="s">
        <v>317</v>
      </c>
      <c r="E188" s="577" t="s">
        <v>115</v>
      </c>
      <c r="F188" s="574" t="s">
        <v>9</v>
      </c>
      <c r="G188" s="254"/>
    </row>
    <row r="189" spans="1:7" s="144" customFormat="1" ht="31.5" customHeight="1" thickBot="1">
      <c r="A189" s="381"/>
      <c r="B189" s="250" t="s">
        <v>146</v>
      </c>
      <c r="C189" s="285">
        <v>20</v>
      </c>
      <c r="D189" s="188"/>
      <c r="E189" s="286">
        <f aca="true" t="shared" si="12" ref="E189:E206">D189*C189</f>
        <v>0</v>
      </c>
      <c r="F189" s="576">
        <f>IF(D207&gt;=1,12,0)</f>
        <v>0</v>
      </c>
      <c r="G189" s="254"/>
    </row>
    <row r="190" spans="1:7" s="144" customFormat="1" ht="31.5" customHeight="1">
      <c r="A190" s="381"/>
      <c r="B190" s="250" t="s">
        <v>145</v>
      </c>
      <c r="C190" s="285">
        <v>40</v>
      </c>
      <c r="D190" s="188"/>
      <c r="E190" s="286">
        <f t="shared" si="12"/>
        <v>0</v>
      </c>
      <c r="F190" s="254"/>
      <c r="G190" s="254"/>
    </row>
    <row r="191" spans="1:7" s="144" customFormat="1" ht="31.5" customHeight="1">
      <c r="A191" s="381"/>
      <c r="B191" s="250" t="s">
        <v>144</v>
      </c>
      <c r="C191" s="285">
        <v>40</v>
      </c>
      <c r="D191" s="188"/>
      <c r="E191" s="286">
        <f t="shared" si="12"/>
        <v>0</v>
      </c>
      <c r="F191" s="254"/>
      <c r="G191" s="254"/>
    </row>
    <row r="192" spans="1:7" s="144" customFormat="1" ht="31.5" customHeight="1">
      <c r="A192" s="381"/>
      <c r="B192" s="250" t="s">
        <v>143</v>
      </c>
      <c r="C192" s="285">
        <v>25</v>
      </c>
      <c r="D192" s="188"/>
      <c r="E192" s="286">
        <f t="shared" si="12"/>
        <v>0</v>
      </c>
      <c r="F192" s="254"/>
      <c r="G192" s="254"/>
    </row>
    <row r="193" spans="1:7" s="144" customFormat="1" ht="31.5" customHeight="1">
      <c r="A193" s="381"/>
      <c r="B193" s="250" t="s">
        <v>142</v>
      </c>
      <c r="C193" s="285">
        <v>10</v>
      </c>
      <c r="D193" s="188"/>
      <c r="E193" s="286">
        <f t="shared" si="12"/>
        <v>0</v>
      </c>
      <c r="F193" s="254"/>
      <c r="G193" s="254"/>
    </row>
    <row r="194" spans="1:10" s="144" customFormat="1" ht="31.5" customHeight="1">
      <c r="A194" s="381"/>
      <c r="B194" s="250" t="s">
        <v>141</v>
      </c>
      <c r="C194" s="285">
        <v>15</v>
      </c>
      <c r="D194" s="188"/>
      <c r="E194" s="286">
        <f t="shared" si="12"/>
        <v>0</v>
      </c>
      <c r="F194" s="254"/>
      <c r="G194" s="254"/>
      <c r="I194" s="151">
        <f>10*D207</f>
        <v>0</v>
      </c>
      <c r="J194" s="144" t="s">
        <v>140</v>
      </c>
    </row>
    <row r="195" spans="1:7" s="144" customFormat="1" ht="31.5" customHeight="1">
      <c r="A195" s="381"/>
      <c r="B195" s="250" t="s">
        <v>139</v>
      </c>
      <c r="C195" s="285">
        <v>10</v>
      </c>
      <c r="D195" s="188"/>
      <c r="E195" s="286">
        <f t="shared" si="12"/>
        <v>0</v>
      </c>
      <c r="F195" s="254"/>
      <c r="G195" s="254"/>
    </row>
    <row r="196" spans="1:7" s="144" customFormat="1" ht="31.5" customHeight="1">
      <c r="A196" s="381"/>
      <c r="B196" s="250" t="s">
        <v>138</v>
      </c>
      <c r="C196" s="285">
        <v>10</v>
      </c>
      <c r="D196" s="188"/>
      <c r="E196" s="286">
        <f t="shared" si="12"/>
        <v>0</v>
      </c>
      <c r="F196" s="254"/>
      <c r="G196" s="254"/>
    </row>
    <row r="197" spans="1:7" s="144" customFormat="1" ht="31.5" customHeight="1">
      <c r="A197" s="381"/>
      <c r="B197" s="250" t="s">
        <v>137</v>
      </c>
      <c r="C197" s="285">
        <v>5</v>
      </c>
      <c r="D197" s="188"/>
      <c r="E197" s="286">
        <f t="shared" si="12"/>
        <v>0</v>
      </c>
      <c r="F197" s="254"/>
      <c r="G197" s="254"/>
    </row>
    <row r="198" spans="1:7" s="144" customFormat="1" ht="31.5" customHeight="1">
      <c r="A198" s="381"/>
      <c r="B198" s="250" t="s">
        <v>136</v>
      </c>
      <c r="C198" s="285">
        <v>1</v>
      </c>
      <c r="D198" s="188"/>
      <c r="E198" s="286">
        <f t="shared" si="12"/>
        <v>0</v>
      </c>
      <c r="F198" s="254"/>
      <c r="G198" s="254"/>
    </row>
    <row r="199" spans="1:7" s="144" customFormat="1" ht="31.5" customHeight="1">
      <c r="A199" s="381"/>
      <c r="B199" s="531" t="s">
        <v>135</v>
      </c>
      <c r="C199" s="285">
        <v>2</v>
      </c>
      <c r="D199" s="188"/>
      <c r="E199" s="286">
        <f t="shared" si="12"/>
        <v>0</v>
      </c>
      <c r="F199" s="254"/>
      <c r="G199" s="254"/>
    </row>
    <row r="200" spans="1:7" s="144" customFormat="1" ht="31.5" customHeight="1">
      <c r="A200" s="381"/>
      <c r="B200" s="531" t="s">
        <v>134</v>
      </c>
      <c r="C200" s="285">
        <v>15</v>
      </c>
      <c r="D200" s="188"/>
      <c r="E200" s="286">
        <f t="shared" si="12"/>
        <v>0</v>
      </c>
      <c r="F200" s="254"/>
      <c r="G200" s="254"/>
    </row>
    <row r="201" spans="1:7" s="144" customFormat="1" ht="31.5" customHeight="1">
      <c r="A201" s="381"/>
      <c r="B201" s="531" t="s">
        <v>133</v>
      </c>
      <c r="C201" s="285">
        <v>10</v>
      </c>
      <c r="D201" s="188"/>
      <c r="E201" s="286">
        <f t="shared" si="12"/>
        <v>0</v>
      </c>
      <c r="F201" s="254"/>
      <c r="G201" s="254"/>
    </row>
    <row r="202" spans="1:7" s="144" customFormat="1" ht="31.5" customHeight="1">
      <c r="A202" s="381"/>
      <c r="B202" s="531" t="s">
        <v>132</v>
      </c>
      <c r="C202" s="285">
        <v>60</v>
      </c>
      <c r="D202" s="188"/>
      <c r="E202" s="286">
        <f t="shared" si="12"/>
        <v>0</v>
      </c>
      <c r="F202" s="254"/>
      <c r="G202" s="254"/>
    </row>
    <row r="203" spans="1:7" s="144" customFormat="1" ht="31.5" customHeight="1">
      <c r="A203" s="381"/>
      <c r="B203" s="531" t="s">
        <v>131</v>
      </c>
      <c r="C203" s="285">
        <v>40</v>
      </c>
      <c r="D203" s="188"/>
      <c r="E203" s="286">
        <f t="shared" si="12"/>
        <v>0</v>
      </c>
      <c r="F203" s="254"/>
      <c r="G203" s="254"/>
    </row>
    <row r="204" spans="1:7" s="144" customFormat="1" ht="31.5" customHeight="1">
      <c r="A204" s="381"/>
      <c r="B204" s="531" t="s">
        <v>130</v>
      </c>
      <c r="C204" s="285">
        <v>20</v>
      </c>
      <c r="D204" s="188"/>
      <c r="E204" s="286">
        <f t="shared" si="12"/>
        <v>0</v>
      </c>
      <c r="F204" s="254"/>
      <c r="G204" s="254"/>
    </row>
    <row r="205" spans="1:7" s="144" customFormat="1" ht="31.5" customHeight="1">
      <c r="A205" s="381"/>
      <c r="B205" s="531" t="s">
        <v>129</v>
      </c>
      <c r="C205" s="285">
        <v>15</v>
      </c>
      <c r="D205" s="188"/>
      <c r="E205" s="286">
        <f t="shared" si="12"/>
        <v>0</v>
      </c>
      <c r="F205" s="254"/>
      <c r="G205" s="254"/>
    </row>
    <row r="206" spans="1:7" s="144" customFormat="1" ht="31.5" customHeight="1">
      <c r="A206" s="381"/>
      <c r="B206" s="531" t="s">
        <v>128</v>
      </c>
      <c r="C206" s="285">
        <v>10</v>
      </c>
      <c r="D206" s="188"/>
      <c r="E206" s="286">
        <f t="shared" si="12"/>
        <v>0</v>
      </c>
      <c r="F206" s="254"/>
      <c r="G206" s="254"/>
    </row>
    <row r="207" spans="1:7" s="144" customFormat="1" ht="24.75" customHeight="1" thickBot="1">
      <c r="A207" s="381"/>
      <c r="B207" s="444" t="s">
        <v>41</v>
      </c>
      <c r="C207" s="526"/>
      <c r="D207" s="575">
        <f>SUM(D189:D206)</f>
        <v>0</v>
      </c>
      <c r="E207" s="378">
        <f>SUM(E189:E206)</f>
        <v>0</v>
      </c>
      <c r="F207" s="254"/>
      <c r="G207" s="254"/>
    </row>
    <row r="208" spans="1:7" s="144" customFormat="1" ht="24.75" customHeight="1">
      <c r="A208" s="381"/>
      <c r="B208" s="254"/>
      <c r="C208" s="254"/>
      <c r="D208" s="254"/>
      <c r="E208" s="254"/>
      <c r="F208" s="254"/>
      <c r="G208" s="254"/>
    </row>
    <row r="209" spans="1:7" s="144" customFormat="1" ht="24.75" customHeight="1">
      <c r="A209" s="381"/>
      <c r="B209" s="254"/>
      <c r="C209" s="254"/>
      <c r="D209" s="254"/>
      <c r="E209" s="254"/>
      <c r="F209" s="254"/>
      <c r="G209" s="254"/>
    </row>
    <row r="210" spans="1:7" s="144" customFormat="1" ht="24.75" customHeight="1">
      <c r="A210" s="381"/>
      <c r="B210" s="254"/>
      <c r="C210" s="254"/>
      <c r="D210" s="254"/>
      <c r="E210" s="254"/>
      <c r="F210" s="254"/>
      <c r="G210" s="254"/>
    </row>
    <row r="211" spans="1:7" s="144" customFormat="1" ht="24.75" customHeight="1">
      <c r="A211" s="381"/>
      <c r="B211" s="254"/>
      <c r="C211" s="254"/>
      <c r="D211" s="254"/>
      <c r="E211" s="254"/>
      <c r="F211" s="254"/>
      <c r="G211" s="254"/>
    </row>
    <row r="212" spans="1:7" s="144" customFormat="1" ht="24.75" customHeight="1">
      <c r="A212" s="381"/>
      <c r="B212" s="254"/>
      <c r="C212" s="254"/>
      <c r="D212" s="254"/>
      <c r="E212" s="254"/>
      <c r="F212" s="254"/>
      <c r="G212" s="254"/>
    </row>
    <row r="213" spans="1:7" s="144" customFormat="1" ht="24.75" customHeight="1">
      <c r="A213" s="381"/>
      <c r="B213" s="254"/>
      <c r="C213" s="254"/>
      <c r="D213" s="254"/>
      <c r="E213" s="254"/>
      <c r="F213" s="254"/>
      <c r="G213" s="254"/>
    </row>
    <row r="214" spans="1:7" s="144" customFormat="1" ht="24.75" customHeight="1">
      <c r="A214" s="447">
        <v>9</v>
      </c>
      <c r="B214" s="311" t="s">
        <v>79</v>
      </c>
      <c r="C214" s="255"/>
      <c r="D214" s="255"/>
      <c r="E214" s="255"/>
      <c r="F214" s="255"/>
      <c r="G214" s="255"/>
    </row>
    <row r="215" spans="1:7" s="144" customFormat="1" ht="24.75" customHeight="1">
      <c r="A215" s="381"/>
      <c r="B215" s="254"/>
      <c r="C215" s="254"/>
      <c r="D215" s="254"/>
      <c r="E215" s="254"/>
      <c r="F215" s="254"/>
      <c r="G215" s="254"/>
    </row>
    <row r="216" spans="1:8" s="448" customFormat="1" ht="24.75" customHeight="1">
      <c r="A216" s="321"/>
      <c r="B216" s="319" t="s">
        <v>348</v>
      </c>
      <c r="C216" s="319"/>
      <c r="D216" s="319"/>
      <c r="E216" s="319"/>
      <c r="F216" s="319"/>
      <c r="G216" s="321"/>
      <c r="H216" s="448" t="s">
        <v>20</v>
      </c>
    </row>
    <row r="217" spans="1:7" s="144" customFormat="1" ht="24.75" customHeight="1" thickBot="1">
      <c r="A217" s="381"/>
      <c r="B217" s="254" t="s">
        <v>322</v>
      </c>
      <c r="C217" s="254"/>
      <c r="D217" s="254"/>
      <c r="E217" s="254"/>
      <c r="F217" s="254"/>
      <c r="G217" s="254"/>
    </row>
    <row r="218" spans="1:7" s="144" customFormat="1" ht="64.5" customHeight="1">
      <c r="A218" s="381"/>
      <c r="B218" s="324" t="s">
        <v>118</v>
      </c>
      <c r="C218" s="571" t="s">
        <v>116</v>
      </c>
      <c r="D218" s="571" t="s">
        <v>235</v>
      </c>
      <c r="E218" s="572" t="s">
        <v>115</v>
      </c>
      <c r="F218" s="622"/>
      <c r="G218" s="623" t="s">
        <v>321</v>
      </c>
    </row>
    <row r="219" spans="1:7" s="144" customFormat="1" ht="49.5" customHeight="1">
      <c r="A219" s="568"/>
      <c r="B219" s="532" t="s">
        <v>127</v>
      </c>
      <c r="C219" s="285">
        <v>4</v>
      </c>
      <c r="D219" s="188"/>
      <c r="E219" s="286">
        <f>D219*C219</f>
        <v>0</v>
      </c>
      <c r="F219" s="570"/>
      <c r="G219" s="624">
        <f>IF(F219&gt;6,1,0)</f>
        <v>0</v>
      </c>
    </row>
    <row r="220" spans="1:7" s="144" customFormat="1" ht="49.5" customHeight="1">
      <c r="A220" s="568"/>
      <c r="B220" s="531" t="s">
        <v>126</v>
      </c>
      <c r="C220" s="285">
        <v>3</v>
      </c>
      <c r="D220" s="188"/>
      <c r="E220" s="286">
        <f>D220*C220</f>
        <v>0</v>
      </c>
      <c r="F220" s="570"/>
      <c r="G220" s="624">
        <f>IF(F220&gt;6,1,0)</f>
        <v>0</v>
      </c>
    </row>
    <row r="221" spans="1:7" s="144" customFormat="1" ht="30">
      <c r="A221" s="568"/>
      <c r="B221" s="573" t="s">
        <v>125</v>
      </c>
      <c r="C221" s="285">
        <v>2</v>
      </c>
      <c r="D221" s="188"/>
      <c r="E221" s="286">
        <f>D221*C221</f>
        <v>0</v>
      </c>
      <c r="F221" s="570"/>
      <c r="G221" s="624">
        <f>IF(F221&gt;6,1,0)</f>
        <v>0</v>
      </c>
    </row>
    <row r="222" spans="1:7" s="144" customFormat="1" ht="24.75" customHeight="1" thickBot="1">
      <c r="A222" s="381"/>
      <c r="B222" s="473" t="s">
        <v>124</v>
      </c>
      <c r="C222" s="288"/>
      <c r="D222" s="288">
        <f>SUM(D219:D221)</f>
        <v>0</v>
      </c>
      <c r="E222" s="289">
        <f>SUM(E219:E221)</f>
        <v>0</v>
      </c>
      <c r="F222" s="238">
        <f>IF(D222&gt;=1,12,0)</f>
        <v>0</v>
      </c>
      <c r="G222" s="624"/>
    </row>
    <row r="223" spans="1:7" s="152" customFormat="1" ht="24.75" customHeight="1">
      <c r="A223" s="569"/>
      <c r="B223" s="238"/>
      <c r="C223" s="256"/>
      <c r="D223" s="256"/>
      <c r="E223" s="256"/>
      <c r="F223" s="238"/>
      <c r="G223" s="581"/>
    </row>
    <row r="224" spans="1:7" s="144" customFormat="1" ht="24.75" customHeight="1" thickBot="1">
      <c r="A224" s="381"/>
      <c r="B224" s="254" t="s">
        <v>323</v>
      </c>
      <c r="C224" s="254"/>
      <c r="D224" s="254"/>
      <c r="E224" s="254"/>
      <c r="F224" s="238"/>
      <c r="G224" s="625"/>
    </row>
    <row r="225" spans="1:7" s="144" customFormat="1" ht="64.5" customHeight="1">
      <c r="A225" s="381"/>
      <c r="B225" s="324" t="s">
        <v>118</v>
      </c>
      <c r="C225" s="571" t="s">
        <v>116</v>
      </c>
      <c r="D225" s="571" t="s">
        <v>235</v>
      </c>
      <c r="E225" s="572" t="s">
        <v>115</v>
      </c>
      <c r="F225" s="627" t="s">
        <v>345</v>
      </c>
      <c r="G225" s="625"/>
    </row>
    <row r="226" spans="1:7" s="144" customFormat="1" ht="39" customHeight="1">
      <c r="A226" s="252"/>
      <c r="B226" s="532" t="s">
        <v>123</v>
      </c>
      <c r="C226" s="285">
        <v>3</v>
      </c>
      <c r="D226" s="188"/>
      <c r="E226" s="286">
        <f>D226*C226</f>
        <v>0</v>
      </c>
      <c r="F226" s="579"/>
      <c r="G226" s="582">
        <f>D226</f>
        <v>0</v>
      </c>
    </row>
    <row r="227" spans="1:7" s="144" customFormat="1" ht="30">
      <c r="A227" s="252"/>
      <c r="B227" s="531" t="s">
        <v>122</v>
      </c>
      <c r="C227" s="285">
        <v>2</v>
      </c>
      <c r="D227" s="188"/>
      <c r="E227" s="286">
        <f>D227*C227</f>
        <v>0</v>
      </c>
      <c r="F227" s="579"/>
      <c r="G227" s="582">
        <f>D227</f>
        <v>0</v>
      </c>
    </row>
    <row r="228" spans="1:7" s="144" customFormat="1" ht="30">
      <c r="A228" s="252"/>
      <c r="B228" s="573" t="s">
        <v>121</v>
      </c>
      <c r="C228" s="285">
        <v>1</v>
      </c>
      <c r="D228" s="188"/>
      <c r="E228" s="286">
        <f>D228*C228</f>
        <v>0</v>
      </c>
      <c r="F228" s="579"/>
      <c r="G228" s="582">
        <f>D228</f>
        <v>0</v>
      </c>
    </row>
    <row r="229" spans="1:7" s="144" customFormat="1" ht="24.75" customHeight="1">
      <c r="A229" s="252"/>
      <c r="B229" s="250" t="s">
        <v>120</v>
      </c>
      <c r="C229" s="285">
        <v>1</v>
      </c>
      <c r="D229" s="188"/>
      <c r="E229" s="286">
        <f>D229*C229</f>
        <v>0</v>
      </c>
      <c r="F229" s="579"/>
      <c r="G229" s="582">
        <f>D229</f>
        <v>0</v>
      </c>
    </row>
    <row r="230" spans="1:7" s="144" customFormat="1" ht="24.75" customHeight="1" thickBot="1">
      <c r="A230" s="252"/>
      <c r="B230" s="473" t="s">
        <v>119</v>
      </c>
      <c r="C230" s="288"/>
      <c r="D230" s="288">
        <f>SUM(D226:D229)</f>
        <v>0</v>
      </c>
      <c r="E230" s="289">
        <f>SUM(E226:E229)</f>
        <v>0</v>
      </c>
      <c r="F230" s="238">
        <f>IF(D230&gt;=1,5,0)</f>
        <v>0</v>
      </c>
      <c r="G230" s="582"/>
    </row>
    <row r="231" spans="1:7" s="144" customFormat="1" ht="24.75" customHeight="1">
      <c r="A231" s="381"/>
      <c r="B231" s="254"/>
      <c r="C231" s="254"/>
      <c r="D231" s="254"/>
      <c r="E231" s="254"/>
      <c r="F231" s="238"/>
      <c r="G231" s="238"/>
    </row>
    <row r="232" spans="1:7" s="144" customFormat="1" ht="24.75" customHeight="1" thickBot="1">
      <c r="A232" s="381"/>
      <c r="B232" s="254" t="s">
        <v>324</v>
      </c>
      <c r="C232" s="254"/>
      <c r="D232" s="254"/>
      <c r="E232" s="254"/>
      <c r="F232" s="238"/>
      <c r="G232" s="625"/>
    </row>
    <row r="233" spans="1:7" s="144" customFormat="1" ht="39.75" customHeight="1">
      <c r="A233" s="381"/>
      <c r="B233" s="247" t="s">
        <v>318</v>
      </c>
      <c r="C233" s="248" t="s">
        <v>116</v>
      </c>
      <c r="D233" s="248" t="s">
        <v>117</v>
      </c>
      <c r="E233" s="249" t="s">
        <v>115</v>
      </c>
      <c r="F233" s="629" t="s">
        <v>346</v>
      </c>
      <c r="G233" s="238"/>
    </row>
    <row r="234" spans="1:7" s="144" customFormat="1" ht="45">
      <c r="A234" s="252"/>
      <c r="B234" s="531" t="s">
        <v>114</v>
      </c>
      <c r="C234" s="285">
        <v>5.5</v>
      </c>
      <c r="D234" s="188"/>
      <c r="E234" s="286">
        <f aca="true" t="shared" si="13" ref="E234:E239">D234*C234</f>
        <v>0</v>
      </c>
      <c r="F234" s="579">
        <f>IF(D240&gt;=1,12,0)</f>
        <v>0</v>
      </c>
      <c r="G234" s="626">
        <f aca="true" t="shared" si="14" ref="G234:G239">D234</f>
        <v>0</v>
      </c>
    </row>
    <row r="235" spans="1:7" s="144" customFormat="1" ht="30">
      <c r="A235" s="252"/>
      <c r="B235" s="531" t="s">
        <v>113</v>
      </c>
      <c r="C235" s="285">
        <v>3</v>
      </c>
      <c r="D235" s="188"/>
      <c r="E235" s="286">
        <f t="shared" si="13"/>
        <v>0</v>
      </c>
      <c r="F235" s="628"/>
      <c r="G235" s="626">
        <f t="shared" si="14"/>
        <v>0</v>
      </c>
    </row>
    <row r="236" spans="1:7" s="144" customFormat="1" ht="45">
      <c r="A236" s="252"/>
      <c r="B236" s="531" t="s">
        <v>112</v>
      </c>
      <c r="C236" s="285">
        <v>1.5</v>
      </c>
      <c r="D236" s="188"/>
      <c r="E236" s="286">
        <f t="shared" si="13"/>
        <v>0</v>
      </c>
      <c r="F236" s="254"/>
      <c r="G236" s="580">
        <f t="shared" si="14"/>
        <v>0</v>
      </c>
    </row>
    <row r="237" spans="1:7" s="144" customFormat="1" ht="45">
      <c r="A237" s="252"/>
      <c r="B237" s="531" t="s">
        <v>111</v>
      </c>
      <c r="C237" s="285">
        <v>1</v>
      </c>
      <c r="D237" s="188"/>
      <c r="E237" s="286">
        <f t="shared" si="13"/>
        <v>0</v>
      </c>
      <c r="F237" s="254"/>
      <c r="G237" s="580">
        <f t="shared" si="14"/>
        <v>0</v>
      </c>
    </row>
    <row r="238" spans="1:7" s="144" customFormat="1" ht="45">
      <c r="A238" s="252"/>
      <c r="B238" s="531" t="s">
        <v>110</v>
      </c>
      <c r="C238" s="285">
        <v>0.5</v>
      </c>
      <c r="D238" s="188"/>
      <c r="E238" s="286">
        <f t="shared" si="13"/>
        <v>0</v>
      </c>
      <c r="F238" s="254"/>
      <c r="G238" s="580">
        <f t="shared" si="14"/>
        <v>0</v>
      </c>
    </row>
    <row r="239" spans="1:32" s="144" customFormat="1" ht="30" customHeight="1">
      <c r="A239" s="252"/>
      <c r="B239" s="531" t="s">
        <v>109</v>
      </c>
      <c r="C239" s="285">
        <v>3</v>
      </c>
      <c r="D239" s="188"/>
      <c r="E239" s="286">
        <f t="shared" si="13"/>
        <v>0</v>
      </c>
      <c r="F239" s="254"/>
      <c r="G239" s="580">
        <f t="shared" si="14"/>
        <v>0</v>
      </c>
      <c r="AE239" s="189"/>
      <c r="AF239" s="189"/>
    </row>
    <row r="240" spans="1:32" s="144" customFormat="1" ht="24.75" customHeight="1" thickBot="1">
      <c r="A240" s="252"/>
      <c r="B240" s="584" t="s">
        <v>108</v>
      </c>
      <c r="C240" s="288"/>
      <c r="D240" s="288">
        <f>SUM(D234:D239)</f>
        <v>0</v>
      </c>
      <c r="E240" s="289">
        <f>SUM(E234:E239)</f>
        <v>0</v>
      </c>
      <c r="F240" s="254">
        <f>IF(D240=1,12,0)</f>
        <v>0</v>
      </c>
      <c r="G240" s="381"/>
      <c r="AE240" s="737"/>
      <c r="AF240" s="737"/>
    </row>
    <row r="241" spans="1:32" s="144" customFormat="1" ht="24.75" customHeight="1" thickBot="1">
      <c r="A241" s="569"/>
      <c r="B241" s="325"/>
      <c r="C241" s="256"/>
      <c r="D241" s="256"/>
      <c r="E241" s="256"/>
      <c r="F241" s="238"/>
      <c r="G241" s="254"/>
      <c r="AE241" s="583"/>
      <c r="AF241" s="583"/>
    </row>
    <row r="242" spans="1:32" s="144" customFormat="1" ht="24.75" customHeight="1" thickBot="1">
      <c r="A242" s="569"/>
      <c r="B242" s="325"/>
      <c r="C242" s="256"/>
      <c r="D242" s="775" t="s">
        <v>280</v>
      </c>
      <c r="E242" s="776"/>
      <c r="F242" s="777"/>
      <c r="G242" s="254"/>
      <c r="AE242" s="583"/>
      <c r="AF242" s="583"/>
    </row>
    <row r="243" spans="1:32" s="144" customFormat="1" ht="39.75" customHeight="1" thickBot="1">
      <c r="A243" s="569"/>
      <c r="B243" s="325"/>
      <c r="C243" s="252"/>
      <c r="D243" s="630" t="s">
        <v>115</v>
      </c>
      <c r="E243" s="630" t="s">
        <v>235</v>
      </c>
      <c r="F243" s="588" t="s">
        <v>9</v>
      </c>
      <c r="G243" s="254"/>
      <c r="AE243" s="583"/>
      <c r="AF243" s="583"/>
    </row>
    <row r="244" spans="1:32" s="144" customFormat="1" ht="24.75" customHeight="1" thickBot="1">
      <c r="A244" s="569"/>
      <c r="B244" s="578"/>
      <c r="C244" s="252"/>
      <c r="D244" s="631">
        <f>E222+E230+E240</f>
        <v>0</v>
      </c>
      <c r="E244" s="631">
        <f>D240+D230+D222</f>
        <v>0</v>
      </c>
      <c r="F244" s="557">
        <f>IF(D230&gt;=1,AE244,AF244)</f>
        <v>0</v>
      </c>
      <c r="G244" s="254"/>
      <c r="AE244" s="633">
        <f>IF(F240+F230+F222&gt;=6,12,6)</f>
        <v>6</v>
      </c>
      <c r="AF244" s="632">
        <f>IF(F240+F230+F222&gt;=6,12,0)</f>
        <v>0</v>
      </c>
    </row>
    <row r="245" spans="1:7" s="144" customFormat="1" ht="84" customHeight="1">
      <c r="A245" s="569"/>
      <c r="B245" s="238"/>
      <c r="C245" s="238"/>
      <c r="D245" s="254"/>
      <c r="E245" s="254"/>
      <c r="F245" s="254"/>
      <c r="G245" s="254"/>
    </row>
    <row r="246" spans="1:7" s="144" customFormat="1" ht="24.75" customHeight="1">
      <c r="A246" s="321">
        <v>10</v>
      </c>
      <c r="B246" s="319" t="s">
        <v>84</v>
      </c>
      <c r="C246" s="450"/>
      <c r="D246" s="450"/>
      <c r="E246" s="450"/>
      <c r="F246" s="319"/>
      <c r="G246" s="450"/>
    </row>
    <row r="247" spans="1:7" s="144" customFormat="1" ht="22.5" customHeight="1" thickBot="1">
      <c r="A247" s="381"/>
      <c r="B247" s="255" t="str">
        <f>B30</f>
        <v>Semester Genap 2018/2019</v>
      </c>
      <c r="C247" s="254"/>
      <c r="D247" s="254"/>
      <c r="E247" s="254"/>
      <c r="F247" s="475">
        <f>D292</f>
        <v>0</v>
      </c>
      <c r="G247" s="254"/>
    </row>
    <row r="248" spans="1:7" s="144" customFormat="1" ht="39.75" customHeight="1" thickBot="1">
      <c r="A248" s="381"/>
      <c r="B248" s="527" t="s">
        <v>353</v>
      </c>
      <c r="C248" s="538"/>
      <c r="D248" s="254"/>
      <c r="E248" s="254"/>
      <c r="F248" s="254"/>
      <c r="G248" s="254"/>
    </row>
    <row r="249" spans="1:7" s="144" customFormat="1" ht="60" customHeight="1">
      <c r="A249" s="699" t="s">
        <v>264</v>
      </c>
      <c r="B249" s="386" t="s">
        <v>4</v>
      </c>
      <c r="C249" s="528" t="s">
        <v>92</v>
      </c>
      <c r="D249" s="529" t="s">
        <v>92</v>
      </c>
      <c r="E249" s="248" t="s">
        <v>107</v>
      </c>
      <c r="F249" s="553" t="s">
        <v>20</v>
      </c>
      <c r="G249" s="254"/>
    </row>
    <row r="250" spans="1:32" s="144" customFormat="1" ht="24.75" customHeight="1">
      <c r="A250" s="700" t="s">
        <v>247</v>
      </c>
      <c r="B250" s="250" t="s">
        <v>106</v>
      </c>
      <c r="C250" s="285">
        <f aca="true" t="shared" si="15" ref="C250:C258">AF250</f>
        <v>0</v>
      </c>
      <c r="D250" s="530" t="s">
        <v>96</v>
      </c>
      <c r="E250" s="285">
        <v>6</v>
      </c>
      <c r="F250" s="286">
        <f aca="true" t="shared" si="16" ref="F250:F265">C250*E250</f>
        <v>0</v>
      </c>
      <c r="G250" s="254"/>
      <c r="AE250" s="219" t="b">
        <f>IF(C248=1,B250)</f>
        <v>0</v>
      </c>
      <c r="AF250" s="220">
        <f>IF(AE250="Rektor",1,0)</f>
        <v>0</v>
      </c>
    </row>
    <row r="251" spans="1:32" s="144" customFormat="1" ht="24.75" customHeight="1">
      <c r="A251" s="700" t="s">
        <v>248</v>
      </c>
      <c r="B251" s="250" t="s">
        <v>265</v>
      </c>
      <c r="C251" s="285">
        <f t="shared" si="15"/>
        <v>0</v>
      </c>
      <c r="D251" s="384" t="s">
        <v>96</v>
      </c>
      <c r="E251" s="285">
        <v>5</v>
      </c>
      <c r="F251" s="286">
        <f t="shared" si="16"/>
        <v>0</v>
      </c>
      <c r="G251" s="254"/>
      <c r="AE251" s="219" t="b">
        <f>IF(C248=2,B251)</f>
        <v>0</v>
      </c>
      <c r="AF251" s="220">
        <f>IF(AE251="Pembantu/Wakil Rektor",1,0)</f>
        <v>0</v>
      </c>
    </row>
    <row r="252" spans="1:32" s="144" customFormat="1" ht="24.75" customHeight="1">
      <c r="A252" s="700" t="s">
        <v>249</v>
      </c>
      <c r="B252" s="250" t="s">
        <v>105</v>
      </c>
      <c r="C252" s="285">
        <f t="shared" si="15"/>
        <v>0</v>
      </c>
      <c r="D252" s="384" t="s">
        <v>96</v>
      </c>
      <c r="E252" s="285">
        <v>5</v>
      </c>
      <c r="F252" s="286">
        <f t="shared" si="16"/>
        <v>0</v>
      </c>
      <c r="G252" s="254"/>
      <c r="AE252" s="219" t="b">
        <f>IF(C248=3,B252)</f>
        <v>0</v>
      </c>
      <c r="AF252" s="220">
        <f>IF(AE252="Dekan",1,0)</f>
        <v>0</v>
      </c>
    </row>
    <row r="253" spans="1:32" s="144" customFormat="1" ht="24.75" customHeight="1">
      <c r="A253" s="700" t="s">
        <v>250</v>
      </c>
      <c r="B253" s="250" t="s">
        <v>104</v>
      </c>
      <c r="C253" s="285">
        <f t="shared" si="15"/>
        <v>0</v>
      </c>
      <c r="D253" s="384" t="s">
        <v>96</v>
      </c>
      <c r="E253" s="285">
        <v>5</v>
      </c>
      <c r="F253" s="286">
        <f t="shared" si="16"/>
        <v>0</v>
      </c>
      <c r="G253" s="254"/>
      <c r="AE253" s="219" t="b">
        <f>IF(C248=4,B253)</f>
        <v>0</v>
      </c>
      <c r="AF253" s="220">
        <f>IF(AE253="Direktur Pasca Sarjana",1,0)</f>
        <v>0</v>
      </c>
    </row>
    <row r="254" spans="1:32" s="144" customFormat="1" ht="24.75" customHeight="1">
      <c r="A254" s="700" t="s">
        <v>251</v>
      </c>
      <c r="B254" s="531" t="s">
        <v>103</v>
      </c>
      <c r="C254" s="285">
        <f t="shared" si="15"/>
        <v>0</v>
      </c>
      <c r="D254" s="384" t="s">
        <v>96</v>
      </c>
      <c r="E254" s="285">
        <v>4</v>
      </c>
      <c r="F254" s="286">
        <f t="shared" si="16"/>
        <v>0</v>
      </c>
      <c r="G254" s="254"/>
      <c r="AE254" s="219" t="b">
        <f>IF(C248=5,B254)</f>
        <v>0</v>
      </c>
      <c r="AF254" s="220">
        <f>IF(AE254="Ketua Sekolah Tinggi",1,0)</f>
        <v>0</v>
      </c>
    </row>
    <row r="255" spans="1:32" s="144" customFormat="1" ht="24.75" customHeight="1">
      <c r="A255" s="700" t="s">
        <v>252</v>
      </c>
      <c r="B255" s="250" t="s">
        <v>266</v>
      </c>
      <c r="C255" s="285">
        <f t="shared" si="15"/>
        <v>0</v>
      </c>
      <c r="D255" s="384" t="s">
        <v>96</v>
      </c>
      <c r="E255" s="285">
        <v>4</v>
      </c>
      <c r="F255" s="286">
        <f t="shared" si="16"/>
        <v>0</v>
      </c>
      <c r="G255" s="254"/>
      <c r="AE255" s="219" t="b">
        <f>IF(C248=6,B255)</f>
        <v>0</v>
      </c>
      <c r="AF255" s="220">
        <f>IF(AE255="Pembantu/ Wakil Ketua Sekolah Tinggi",1,0)</f>
        <v>0</v>
      </c>
    </row>
    <row r="256" spans="1:32" s="144" customFormat="1" ht="24.75" customHeight="1">
      <c r="A256" s="700" t="s">
        <v>253</v>
      </c>
      <c r="B256" s="531" t="s">
        <v>102</v>
      </c>
      <c r="C256" s="285">
        <f t="shared" si="15"/>
        <v>0</v>
      </c>
      <c r="D256" s="384" t="s">
        <v>96</v>
      </c>
      <c r="E256" s="285">
        <v>4</v>
      </c>
      <c r="F256" s="286">
        <f t="shared" si="16"/>
        <v>0</v>
      </c>
      <c r="G256" s="254"/>
      <c r="AE256" s="219" t="b">
        <f>IF(C248=7,B256)</f>
        <v>0</v>
      </c>
      <c r="AF256" s="220">
        <f>IF(AE256="Direktur Politeknik",1,0)</f>
        <v>0</v>
      </c>
    </row>
    <row r="257" spans="1:32" s="144" customFormat="1" ht="24.75" customHeight="1">
      <c r="A257" s="700" t="s">
        <v>254</v>
      </c>
      <c r="B257" s="250" t="s">
        <v>268</v>
      </c>
      <c r="C257" s="285">
        <f t="shared" si="15"/>
        <v>0</v>
      </c>
      <c r="D257" s="384" t="s">
        <v>96</v>
      </c>
      <c r="E257" s="285">
        <v>4</v>
      </c>
      <c r="F257" s="286">
        <f t="shared" si="16"/>
        <v>0</v>
      </c>
      <c r="G257" s="254"/>
      <c r="AE257" s="219" t="b">
        <f>IF(C248=8,B257)</f>
        <v>0</v>
      </c>
      <c r="AF257" s="220">
        <f>IF(AE257="Pembantu/Wakil Direktur Politeknik",1,0)</f>
        <v>0</v>
      </c>
    </row>
    <row r="258" spans="1:32" s="144" customFormat="1" ht="24.75" customHeight="1">
      <c r="A258" s="700" t="s">
        <v>255</v>
      </c>
      <c r="B258" s="531" t="s">
        <v>101</v>
      </c>
      <c r="C258" s="285">
        <f t="shared" si="15"/>
        <v>0</v>
      </c>
      <c r="D258" s="384" t="s">
        <v>96</v>
      </c>
      <c r="E258" s="285">
        <v>4</v>
      </c>
      <c r="F258" s="286">
        <f t="shared" si="16"/>
        <v>0</v>
      </c>
      <c r="G258" s="254"/>
      <c r="AE258" s="219" t="b">
        <f>IF(C248=9,B258)</f>
        <v>0</v>
      </c>
      <c r="AF258" s="220">
        <f>IF(AE258="Direktur Akademi",1,0)</f>
        <v>0</v>
      </c>
    </row>
    <row r="259" spans="1:32" s="144" customFormat="1" ht="24.75" customHeight="1">
      <c r="A259" s="700" t="s">
        <v>256</v>
      </c>
      <c r="B259" s="531" t="s">
        <v>267</v>
      </c>
      <c r="C259" s="285">
        <f>AF259</f>
        <v>0</v>
      </c>
      <c r="D259" s="384" t="s">
        <v>96</v>
      </c>
      <c r="E259" s="285">
        <v>4</v>
      </c>
      <c r="F259" s="286">
        <f t="shared" si="16"/>
        <v>0</v>
      </c>
      <c r="G259" s="254"/>
      <c r="AE259" s="219" t="b">
        <f>IF(C248=10,B259)</f>
        <v>0</v>
      </c>
      <c r="AF259" s="220">
        <f>IF(AE259="Pembantu/Wakil Dekan",1,0)</f>
        <v>0</v>
      </c>
    </row>
    <row r="260" spans="1:32" s="144" customFormat="1" ht="24.75" customHeight="1">
      <c r="A260" s="700" t="s">
        <v>257</v>
      </c>
      <c r="B260" s="531" t="s">
        <v>100</v>
      </c>
      <c r="C260" s="285">
        <f aca="true" t="shared" si="17" ref="C260:C265">AF260</f>
        <v>0</v>
      </c>
      <c r="D260" s="384" t="s">
        <v>96</v>
      </c>
      <c r="E260" s="285">
        <v>4</v>
      </c>
      <c r="F260" s="286">
        <f t="shared" si="16"/>
        <v>0</v>
      </c>
      <c r="G260" s="254"/>
      <c r="AE260" s="219" t="b">
        <f>IF(C248=11,B260)</f>
        <v>0</v>
      </c>
      <c r="AF260" s="220">
        <f>IF(AE260="Asisten Direktur Pascasarjana",1,0)</f>
        <v>0</v>
      </c>
    </row>
    <row r="261" spans="1:32" s="144" customFormat="1" ht="24.75" customHeight="1">
      <c r="A261" s="700" t="s">
        <v>258</v>
      </c>
      <c r="B261" s="531" t="s">
        <v>269</v>
      </c>
      <c r="C261" s="285">
        <f t="shared" si="17"/>
        <v>0</v>
      </c>
      <c r="D261" s="384" t="s">
        <v>96</v>
      </c>
      <c r="E261" s="285">
        <v>3</v>
      </c>
      <c r="F261" s="286">
        <f t="shared" si="16"/>
        <v>0</v>
      </c>
      <c r="G261" s="254"/>
      <c r="AE261" s="219" t="b">
        <f>IF(C248=12,B261)</f>
        <v>0</v>
      </c>
      <c r="AF261" s="220">
        <f>IF(AE261="Pembantu/Wakil Direktur Akademi",1,0)</f>
        <v>0</v>
      </c>
    </row>
    <row r="262" spans="1:32" s="144" customFormat="1" ht="30" customHeight="1">
      <c r="A262" s="700" t="s">
        <v>259</v>
      </c>
      <c r="B262" s="531" t="s">
        <v>99</v>
      </c>
      <c r="C262" s="285">
        <f t="shared" si="17"/>
        <v>0</v>
      </c>
      <c r="D262" s="384" t="s">
        <v>96</v>
      </c>
      <c r="E262" s="285">
        <v>3</v>
      </c>
      <c r="F262" s="286">
        <f t="shared" si="16"/>
        <v>0</v>
      </c>
      <c r="G262" s="254"/>
      <c r="AE262" s="219" t="b">
        <f>IF(C248=13,B262)</f>
        <v>0</v>
      </c>
      <c r="AF262" s="220">
        <f>IF(AE262="Ketua Jurusan/Bagian",1,0)</f>
        <v>0</v>
      </c>
    </row>
    <row r="263" spans="1:32" s="144" customFormat="1" ht="30" customHeight="1">
      <c r="A263" s="700" t="s">
        <v>260</v>
      </c>
      <c r="B263" s="531" t="s">
        <v>269</v>
      </c>
      <c r="C263" s="285">
        <f t="shared" si="17"/>
        <v>0</v>
      </c>
      <c r="D263" s="384" t="s">
        <v>96</v>
      </c>
      <c r="E263" s="285">
        <v>3</v>
      </c>
      <c r="F263" s="286">
        <f t="shared" si="16"/>
        <v>0</v>
      </c>
      <c r="G263" s="254"/>
      <c r="AE263" s="219" t="b">
        <f>IF(C248=14,B263)</f>
        <v>0</v>
      </c>
      <c r="AF263" s="220">
        <f>IF(AE263="Pembantu/Wakil Direktur Akademi",1,0)</f>
        <v>0</v>
      </c>
    </row>
    <row r="264" spans="1:32" s="144" customFormat="1" ht="30" customHeight="1">
      <c r="A264" s="700" t="s">
        <v>261</v>
      </c>
      <c r="B264" s="531" t="s">
        <v>98</v>
      </c>
      <c r="C264" s="285">
        <f t="shared" si="17"/>
        <v>0</v>
      </c>
      <c r="D264" s="384" t="s">
        <v>96</v>
      </c>
      <c r="E264" s="285">
        <v>3</v>
      </c>
      <c r="F264" s="286">
        <f t="shared" si="16"/>
        <v>0</v>
      </c>
      <c r="G264" s="254"/>
      <c r="AE264" s="219" t="b">
        <f>IF(C248=15,B264)</f>
        <v>0</v>
      </c>
      <c r="AF264" s="220">
        <f>IF(AE264="Sekretaris Jurusan",1,0)</f>
        <v>0</v>
      </c>
    </row>
    <row r="265" spans="1:32" s="144" customFormat="1" ht="30" customHeight="1">
      <c r="A265" s="700" t="s">
        <v>262</v>
      </c>
      <c r="B265" s="532" t="s">
        <v>97</v>
      </c>
      <c r="C265" s="285">
        <f t="shared" si="17"/>
        <v>0</v>
      </c>
      <c r="D265" s="533" t="s">
        <v>96</v>
      </c>
      <c r="E265" s="360">
        <v>3</v>
      </c>
      <c r="F265" s="326">
        <f t="shared" si="16"/>
        <v>0</v>
      </c>
      <c r="G265" s="254"/>
      <c r="AE265" s="219" t="b">
        <f>IF(C248=16,B265)</f>
        <v>0</v>
      </c>
      <c r="AF265" s="220">
        <f>IF(AE265="Kepala Laboratorium",1,0)</f>
        <v>0</v>
      </c>
    </row>
    <row r="266" spans="1:7" s="144" customFormat="1" ht="24.75" customHeight="1" thickBot="1">
      <c r="A266" s="534"/>
      <c r="B266" s="535" t="s">
        <v>95</v>
      </c>
      <c r="C266" s="484">
        <f>SUM(C250:C265)</f>
        <v>0</v>
      </c>
      <c r="D266" s="537"/>
      <c r="E266" s="536"/>
      <c r="F266" s="484">
        <f>SUM(F250:F265)</f>
        <v>0</v>
      </c>
      <c r="G266" s="254"/>
    </row>
    <row r="267" spans="1:7" s="144" customFormat="1" ht="52.5" customHeight="1">
      <c r="A267" s="408"/>
      <c r="B267" s="252"/>
      <c r="C267" s="252"/>
      <c r="D267" s="252"/>
      <c r="E267" s="252"/>
      <c r="F267" s="252"/>
      <c r="G267" s="252"/>
    </row>
    <row r="268" spans="1:7" s="144" customFormat="1" ht="22.5" customHeight="1" thickBot="1">
      <c r="A268" s="540"/>
      <c r="B268" s="519" t="str">
        <f>B46</f>
        <v>Semester Gasal 2019/2020</v>
      </c>
      <c r="C268" s="520"/>
      <c r="D268" s="520"/>
      <c r="E268" s="519"/>
      <c r="F268" s="520"/>
      <c r="G268" s="520"/>
    </row>
    <row r="269" spans="1:7" s="144" customFormat="1" ht="39.75" customHeight="1" thickBot="1">
      <c r="A269" s="540"/>
      <c r="B269" s="539" t="s">
        <v>353</v>
      </c>
      <c r="C269" s="538"/>
      <c r="D269" s="520"/>
      <c r="E269" s="520"/>
      <c r="F269" s="520"/>
      <c r="G269" s="520"/>
    </row>
    <row r="270" spans="1:7" s="144" customFormat="1" ht="57.75" customHeight="1">
      <c r="A270" s="701" t="s">
        <v>264</v>
      </c>
      <c r="B270" s="541" t="s">
        <v>4</v>
      </c>
      <c r="C270" s="542" t="s">
        <v>92</v>
      </c>
      <c r="D270" s="543" t="s">
        <v>92</v>
      </c>
      <c r="E270" s="542" t="s">
        <v>107</v>
      </c>
      <c r="F270" s="544" t="s">
        <v>91</v>
      </c>
      <c r="G270" s="520"/>
    </row>
    <row r="271" spans="1:32" s="144" customFormat="1" ht="24.75" customHeight="1">
      <c r="A271" s="702" t="s">
        <v>247</v>
      </c>
      <c r="B271" s="522" t="s">
        <v>106</v>
      </c>
      <c r="C271" s="503">
        <f aca="true" t="shared" si="18" ref="C271:C279">AF271</f>
        <v>0</v>
      </c>
      <c r="D271" s="545" t="s">
        <v>96</v>
      </c>
      <c r="E271" s="503">
        <v>6</v>
      </c>
      <c r="F271" s="501">
        <f aca="true" t="shared" si="19" ref="F271:F286">C271*E271</f>
        <v>0</v>
      </c>
      <c r="G271" s="520"/>
      <c r="AE271" s="221" t="b">
        <f>IF(C269=1,B271)</f>
        <v>0</v>
      </c>
      <c r="AF271" s="222">
        <f>IF(AE271="Rektor",1,0)</f>
        <v>0</v>
      </c>
    </row>
    <row r="272" spans="1:32" s="144" customFormat="1" ht="24.75" customHeight="1">
      <c r="A272" s="702" t="s">
        <v>248</v>
      </c>
      <c r="B272" s="522" t="s">
        <v>265</v>
      </c>
      <c r="C272" s="503">
        <f t="shared" si="18"/>
        <v>0</v>
      </c>
      <c r="D272" s="545" t="s">
        <v>96</v>
      </c>
      <c r="E272" s="503">
        <v>5</v>
      </c>
      <c r="F272" s="501">
        <f t="shared" si="19"/>
        <v>0</v>
      </c>
      <c r="G272" s="520"/>
      <c r="AE272" s="221" t="b">
        <f>IF(C269=2,B272)</f>
        <v>0</v>
      </c>
      <c r="AF272" s="222">
        <f>IF(AE272="Pembantu/Wakil Rektor",1,0)</f>
        <v>0</v>
      </c>
    </row>
    <row r="273" spans="1:32" s="144" customFormat="1" ht="24.75" customHeight="1">
      <c r="A273" s="702" t="s">
        <v>249</v>
      </c>
      <c r="B273" s="522" t="s">
        <v>105</v>
      </c>
      <c r="C273" s="503">
        <f t="shared" si="18"/>
        <v>0</v>
      </c>
      <c r="D273" s="545" t="s">
        <v>96</v>
      </c>
      <c r="E273" s="503">
        <v>5</v>
      </c>
      <c r="F273" s="501">
        <f t="shared" si="19"/>
        <v>0</v>
      </c>
      <c r="G273" s="520"/>
      <c r="AE273" s="221" t="b">
        <f>IF(C269=3,B273)</f>
        <v>0</v>
      </c>
      <c r="AF273" s="222">
        <f>IF(AE273="Dekan",1,0)</f>
        <v>0</v>
      </c>
    </row>
    <row r="274" spans="1:32" s="144" customFormat="1" ht="24.75" customHeight="1">
      <c r="A274" s="702" t="s">
        <v>250</v>
      </c>
      <c r="B274" s="522" t="s">
        <v>104</v>
      </c>
      <c r="C274" s="503">
        <f t="shared" si="18"/>
        <v>0</v>
      </c>
      <c r="D274" s="545" t="s">
        <v>96</v>
      </c>
      <c r="E274" s="503">
        <v>5</v>
      </c>
      <c r="F274" s="501">
        <f t="shared" si="19"/>
        <v>0</v>
      </c>
      <c r="G274" s="520"/>
      <c r="AE274" s="221" t="b">
        <f>IF(C269=4,B274)</f>
        <v>0</v>
      </c>
      <c r="AF274" s="222">
        <f>IF(AE274="Direktur Pasca Sarjana",1,0)</f>
        <v>0</v>
      </c>
    </row>
    <row r="275" spans="1:32" s="144" customFormat="1" ht="24.75" customHeight="1">
      <c r="A275" s="702" t="s">
        <v>251</v>
      </c>
      <c r="B275" s="546" t="s">
        <v>103</v>
      </c>
      <c r="C275" s="503">
        <f t="shared" si="18"/>
        <v>0</v>
      </c>
      <c r="D275" s="545" t="s">
        <v>96</v>
      </c>
      <c r="E275" s="503">
        <v>4</v>
      </c>
      <c r="F275" s="501">
        <f t="shared" si="19"/>
        <v>0</v>
      </c>
      <c r="G275" s="520"/>
      <c r="AE275" s="221" t="b">
        <f>IF(C269=5,B275)</f>
        <v>0</v>
      </c>
      <c r="AF275" s="222">
        <f>IF(AE275="Ketua Sekolah Tinggi",1,0)</f>
        <v>0</v>
      </c>
    </row>
    <row r="276" spans="1:32" s="144" customFormat="1" ht="24.75" customHeight="1">
      <c r="A276" s="702" t="s">
        <v>252</v>
      </c>
      <c r="B276" s="522" t="s">
        <v>266</v>
      </c>
      <c r="C276" s="503">
        <f t="shared" si="18"/>
        <v>0</v>
      </c>
      <c r="D276" s="545" t="s">
        <v>96</v>
      </c>
      <c r="E276" s="503">
        <v>4</v>
      </c>
      <c r="F276" s="501">
        <f t="shared" si="19"/>
        <v>0</v>
      </c>
      <c r="G276" s="520"/>
      <c r="AE276" s="221" t="b">
        <f>IF(C269=6,B276)</f>
        <v>0</v>
      </c>
      <c r="AF276" s="222">
        <f>IF(AE276="Pembantu/ Wakil Ketua Sekolah Tinggi",1,0)</f>
        <v>0</v>
      </c>
    </row>
    <row r="277" spans="1:32" s="144" customFormat="1" ht="24.75" customHeight="1">
      <c r="A277" s="702" t="s">
        <v>253</v>
      </c>
      <c r="B277" s="546" t="s">
        <v>102</v>
      </c>
      <c r="C277" s="503">
        <f t="shared" si="18"/>
        <v>0</v>
      </c>
      <c r="D277" s="545" t="s">
        <v>96</v>
      </c>
      <c r="E277" s="503">
        <v>4</v>
      </c>
      <c r="F277" s="501">
        <f t="shared" si="19"/>
        <v>0</v>
      </c>
      <c r="G277" s="520"/>
      <c r="AE277" s="221" t="b">
        <f>IF(C269=7,B277)</f>
        <v>0</v>
      </c>
      <c r="AF277" s="222">
        <f>IF(AE277="Direktur Politeknik",1,0)</f>
        <v>0</v>
      </c>
    </row>
    <row r="278" spans="1:32" s="144" customFormat="1" ht="24.75" customHeight="1">
      <c r="A278" s="702" t="s">
        <v>254</v>
      </c>
      <c r="B278" s="522" t="s">
        <v>268</v>
      </c>
      <c r="C278" s="503">
        <f t="shared" si="18"/>
        <v>0</v>
      </c>
      <c r="D278" s="545" t="s">
        <v>96</v>
      </c>
      <c r="E278" s="503">
        <v>4</v>
      </c>
      <c r="F278" s="501">
        <f t="shared" si="19"/>
        <v>0</v>
      </c>
      <c r="G278" s="520"/>
      <c r="AE278" s="221" t="b">
        <f>IF(C269=8,B278)</f>
        <v>0</v>
      </c>
      <c r="AF278" s="222">
        <f>IF(AE278="Pembantu/Wakil Direktur Politeknik",1,0)</f>
        <v>0</v>
      </c>
    </row>
    <row r="279" spans="1:32" s="144" customFormat="1" ht="24.75" customHeight="1">
      <c r="A279" s="702" t="s">
        <v>255</v>
      </c>
      <c r="B279" s="546" t="s">
        <v>101</v>
      </c>
      <c r="C279" s="503">
        <f t="shared" si="18"/>
        <v>0</v>
      </c>
      <c r="D279" s="545" t="s">
        <v>96</v>
      </c>
      <c r="E279" s="503">
        <v>4</v>
      </c>
      <c r="F279" s="501">
        <f t="shared" si="19"/>
        <v>0</v>
      </c>
      <c r="G279" s="520"/>
      <c r="AE279" s="221" t="b">
        <f>IF(C269=9,B279)</f>
        <v>0</v>
      </c>
      <c r="AF279" s="222">
        <f>IF(AE279="Direktur Akademi",1,0)</f>
        <v>0</v>
      </c>
    </row>
    <row r="280" spans="1:32" s="144" customFormat="1" ht="24.75" customHeight="1">
      <c r="A280" s="702" t="s">
        <v>256</v>
      </c>
      <c r="B280" s="546" t="s">
        <v>267</v>
      </c>
      <c r="C280" s="503">
        <f>AF280</f>
        <v>0</v>
      </c>
      <c r="D280" s="545" t="s">
        <v>96</v>
      </c>
      <c r="E280" s="503">
        <v>4</v>
      </c>
      <c r="F280" s="501">
        <f t="shared" si="19"/>
        <v>0</v>
      </c>
      <c r="G280" s="520"/>
      <c r="AE280" s="221" t="b">
        <f>IF(C269=10,B280)</f>
        <v>0</v>
      </c>
      <c r="AF280" s="222">
        <f>IF(AE280="Pembantu/Wakil Dekan",1,0)</f>
        <v>0</v>
      </c>
    </row>
    <row r="281" spans="1:32" s="144" customFormat="1" ht="24.75" customHeight="1">
      <c r="A281" s="702" t="s">
        <v>257</v>
      </c>
      <c r="B281" s="546" t="s">
        <v>100</v>
      </c>
      <c r="C281" s="503">
        <f aca="true" t="shared" si="20" ref="C281:C286">AF281</f>
        <v>0</v>
      </c>
      <c r="D281" s="545" t="s">
        <v>96</v>
      </c>
      <c r="E281" s="503">
        <v>4</v>
      </c>
      <c r="F281" s="501">
        <f t="shared" si="19"/>
        <v>0</v>
      </c>
      <c r="G281" s="520"/>
      <c r="AE281" s="221" t="b">
        <f>IF(C269=11,B281)</f>
        <v>0</v>
      </c>
      <c r="AF281" s="222">
        <f>IF(AE281="Asisten Direktur Pascasarjana",1,0)</f>
        <v>0</v>
      </c>
    </row>
    <row r="282" spans="1:32" s="144" customFormat="1" ht="24.75" customHeight="1">
      <c r="A282" s="702" t="s">
        <v>258</v>
      </c>
      <c r="B282" s="546" t="s">
        <v>269</v>
      </c>
      <c r="C282" s="503">
        <f t="shared" si="20"/>
        <v>0</v>
      </c>
      <c r="D282" s="545" t="s">
        <v>96</v>
      </c>
      <c r="E282" s="503">
        <v>3</v>
      </c>
      <c r="F282" s="501">
        <f t="shared" si="19"/>
        <v>0</v>
      </c>
      <c r="G282" s="520"/>
      <c r="AE282" s="221" t="b">
        <f>IF(C269=12,B282)</f>
        <v>0</v>
      </c>
      <c r="AF282" s="222">
        <f>IF(AE282="Pembantu/Wakil Direktur Akademi",1,0)</f>
        <v>0</v>
      </c>
    </row>
    <row r="283" spans="1:32" s="144" customFormat="1" ht="30" customHeight="1">
      <c r="A283" s="702" t="s">
        <v>259</v>
      </c>
      <c r="B283" s="546" t="s">
        <v>99</v>
      </c>
      <c r="C283" s="503">
        <f t="shared" si="20"/>
        <v>0</v>
      </c>
      <c r="D283" s="545" t="s">
        <v>96</v>
      </c>
      <c r="E283" s="503">
        <v>3</v>
      </c>
      <c r="F283" s="501">
        <f t="shared" si="19"/>
        <v>0</v>
      </c>
      <c r="G283" s="520"/>
      <c r="AE283" s="221" t="b">
        <f>IF(C269=13,B283)</f>
        <v>0</v>
      </c>
      <c r="AF283" s="222">
        <f>IF(AE283="Ketua Jurusan/Bagian",1,0)</f>
        <v>0</v>
      </c>
    </row>
    <row r="284" spans="1:32" s="144" customFormat="1" ht="30" customHeight="1">
      <c r="A284" s="702" t="s">
        <v>260</v>
      </c>
      <c r="B284" s="546" t="s">
        <v>269</v>
      </c>
      <c r="C284" s="503">
        <f t="shared" si="20"/>
        <v>0</v>
      </c>
      <c r="D284" s="545" t="s">
        <v>96</v>
      </c>
      <c r="E284" s="503">
        <v>3</v>
      </c>
      <c r="F284" s="501">
        <f t="shared" si="19"/>
        <v>0</v>
      </c>
      <c r="G284" s="520"/>
      <c r="AE284" s="221" t="b">
        <f>IF(C269=14,B284)</f>
        <v>0</v>
      </c>
      <c r="AF284" s="222">
        <f>IF(AE284="Pembantu/Wakil Direktur Akademi",1,0)</f>
        <v>0</v>
      </c>
    </row>
    <row r="285" spans="1:32" s="144" customFormat="1" ht="30" customHeight="1">
      <c r="A285" s="702" t="s">
        <v>261</v>
      </c>
      <c r="B285" s="546" t="s">
        <v>98</v>
      </c>
      <c r="C285" s="503">
        <f t="shared" si="20"/>
        <v>0</v>
      </c>
      <c r="D285" s="545" t="s">
        <v>96</v>
      </c>
      <c r="E285" s="503">
        <v>3</v>
      </c>
      <c r="F285" s="501">
        <f t="shared" si="19"/>
        <v>0</v>
      </c>
      <c r="G285" s="520"/>
      <c r="AE285" s="221" t="b">
        <f>IF(C269=15,B285)</f>
        <v>0</v>
      </c>
      <c r="AF285" s="222">
        <f>IF(AE285="Sekretaris Jurusan",1,0)</f>
        <v>0</v>
      </c>
    </row>
    <row r="286" spans="1:32" s="144" customFormat="1" ht="30" customHeight="1">
      <c r="A286" s="702" t="s">
        <v>262</v>
      </c>
      <c r="B286" s="547" t="s">
        <v>97</v>
      </c>
      <c r="C286" s="503">
        <f t="shared" si="20"/>
        <v>0</v>
      </c>
      <c r="D286" s="545" t="s">
        <v>96</v>
      </c>
      <c r="E286" s="503">
        <v>3</v>
      </c>
      <c r="F286" s="501">
        <f t="shared" si="19"/>
        <v>0</v>
      </c>
      <c r="G286" s="520"/>
      <c r="AE286" s="221" t="b">
        <f>IF(C269=16,B286)</f>
        <v>0</v>
      </c>
      <c r="AF286" s="222">
        <f>IF(AE286="Kepala Laboratorium",1,0)</f>
        <v>0</v>
      </c>
    </row>
    <row r="287" spans="1:7" s="144" customFormat="1" ht="24.75" customHeight="1" thickBot="1">
      <c r="A287" s="548"/>
      <c r="B287" s="549" t="s">
        <v>95</v>
      </c>
      <c r="C287" s="550">
        <f>SUM(C271:C286)</f>
        <v>0</v>
      </c>
      <c r="D287" s="551"/>
      <c r="E287" s="550"/>
      <c r="F287" s="552">
        <f>SUM(F271:F286)</f>
        <v>0</v>
      </c>
      <c r="G287" s="520"/>
    </row>
    <row r="288" spans="1:7" s="144" customFormat="1" ht="24.75" customHeight="1" thickBot="1">
      <c r="A288" s="381"/>
      <c r="B288" s="254"/>
      <c r="C288" s="254"/>
      <c r="D288" s="254"/>
      <c r="E288" s="254"/>
      <c r="F288" s="254"/>
      <c r="G288" s="254"/>
    </row>
    <row r="289" spans="1:7" s="144" customFormat="1" ht="24.75" customHeight="1" thickBot="1">
      <c r="A289" s="381"/>
      <c r="B289" s="255"/>
      <c r="C289" s="589"/>
      <c r="D289" s="760" t="s">
        <v>280</v>
      </c>
      <c r="E289" s="761"/>
      <c r="F289" s="762"/>
      <c r="G289" s="254"/>
    </row>
    <row r="290" spans="1:7" s="144" customFormat="1" ht="34.5" customHeight="1">
      <c r="A290" s="381"/>
      <c r="B290" s="559" t="s">
        <v>93</v>
      </c>
      <c r="C290" s="586" t="s">
        <v>325</v>
      </c>
      <c r="D290" s="586" t="s">
        <v>115</v>
      </c>
      <c r="E290" s="586" t="s">
        <v>235</v>
      </c>
      <c r="F290" s="587" t="s">
        <v>9</v>
      </c>
      <c r="G290" s="254"/>
    </row>
    <row r="291" spans="1:7" s="144" customFormat="1" ht="24.75" customHeight="1">
      <c r="A291" s="381"/>
      <c r="B291" s="398" t="str">
        <f>B247</f>
        <v>Semester Genap 2018/2019</v>
      </c>
      <c r="C291" s="594" t="str">
        <f>_xlfn.IFERROR(VLOOKUP(C248,Sheet3!$A$1:$B$16,2,FALSE)," ")</f>
        <v> </v>
      </c>
      <c r="D291" s="558">
        <f>F266</f>
        <v>0</v>
      </c>
      <c r="E291" s="558">
        <f>C266</f>
        <v>0</v>
      </c>
      <c r="F291" s="595">
        <f>IF(E291&gt;=1,6,0)</f>
        <v>0</v>
      </c>
      <c r="G291" s="254"/>
    </row>
    <row r="292" spans="1:7" s="144" customFormat="1" ht="24.75" customHeight="1" thickBot="1">
      <c r="A292" s="381"/>
      <c r="B292" s="590" t="str">
        <f>B268</f>
        <v>Semester Gasal 2019/2020</v>
      </c>
      <c r="C292" s="591" t="str">
        <f>_xlfn.IFERROR(VLOOKUP(C269,Sheet3!$A$1:$B$16,2,FALSE)," ")</f>
        <v> </v>
      </c>
      <c r="D292" s="592">
        <f>F287</f>
        <v>0</v>
      </c>
      <c r="E292" s="592">
        <f>C287</f>
        <v>0</v>
      </c>
      <c r="F292" s="593">
        <f>IF(E292&gt;=1,6,0)</f>
        <v>0</v>
      </c>
      <c r="G292" s="254"/>
    </row>
    <row r="293" spans="1:7" s="144" customFormat="1" ht="24.75" customHeight="1">
      <c r="A293" s="381"/>
      <c r="B293" s="238"/>
      <c r="C293" s="256"/>
      <c r="D293" s="252"/>
      <c r="E293" s="252"/>
      <c r="F293" s="252"/>
      <c r="G293" s="254"/>
    </row>
    <row r="294" spans="1:7" s="144" customFormat="1" ht="61.5" customHeight="1" thickBot="1">
      <c r="A294" s="605">
        <v>11</v>
      </c>
      <c r="B294" s="778" t="s">
        <v>344</v>
      </c>
      <c r="C294" s="778"/>
      <c r="D294" s="450"/>
      <c r="E294" s="450"/>
      <c r="F294" s="319"/>
      <c r="G294" s="450"/>
    </row>
    <row r="295" spans="1:7" s="148" customFormat="1" ht="24.75" customHeight="1" thickBot="1">
      <c r="A295" s="607"/>
      <c r="B295" s="606"/>
      <c r="C295" s="760" t="s">
        <v>280</v>
      </c>
      <c r="D295" s="761"/>
      <c r="E295" s="762"/>
      <c r="F295" s="453"/>
      <c r="G295" s="608"/>
    </row>
    <row r="296" spans="1:7" s="599" customFormat="1" ht="50.25" customHeight="1">
      <c r="A296" s="600" t="s">
        <v>330</v>
      </c>
      <c r="B296" s="601" t="s">
        <v>329</v>
      </c>
      <c r="C296" s="602" t="s">
        <v>20</v>
      </c>
      <c r="D296" s="602" t="s">
        <v>235</v>
      </c>
      <c r="E296" s="603" t="s">
        <v>9</v>
      </c>
      <c r="F296" s="449"/>
      <c r="G296" s="449"/>
    </row>
    <row r="297" spans="1:7" s="144" customFormat="1" ht="30" customHeight="1">
      <c r="A297" s="598" t="s">
        <v>326</v>
      </c>
      <c r="B297" s="604"/>
      <c r="C297" s="392"/>
      <c r="D297" s="394">
        <f>IF(C297&gt;=1,1,0)</f>
        <v>0</v>
      </c>
      <c r="E297" s="585">
        <v>12</v>
      </c>
      <c r="F297" s="254"/>
      <c r="G297" s="254"/>
    </row>
    <row r="298" spans="1:7" s="144" customFormat="1" ht="30" customHeight="1">
      <c r="A298" s="598" t="s">
        <v>327</v>
      </c>
      <c r="B298" s="604"/>
      <c r="C298" s="392"/>
      <c r="D298" s="394">
        <f aca="true" t="shared" si="21" ref="D298:D311">IF(C298&gt;=1,1,0)</f>
        <v>0</v>
      </c>
      <c r="E298" s="585">
        <v>12</v>
      </c>
      <c r="F298" s="254"/>
      <c r="G298" s="254"/>
    </row>
    <row r="299" spans="1:7" s="144" customFormat="1" ht="30" customHeight="1">
      <c r="A299" s="598" t="s">
        <v>328</v>
      </c>
      <c r="B299" s="604"/>
      <c r="C299" s="392"/>
      <c r="D299" s="394">
        <f t="shared" si="21"/>
        <v>0</v>
      </c>
      <c r="E299" s="585">
        <v>12</v>
      </c>
      <c r="F299" s="254"/>
      <c r="G299" s="254"/>
    </row>
    <row r="300" spans="1:7" s="144" customFormat="1" ht="30" customHeight="1">
      <c r="A300" s="598" t="s">
        <v>331</v>
      </c>
      <c r="B300" s="604"/>
      <c r="C300" s="392"/>
      <c r="D300" s="394">
        <f t="shared" si="21"/>
        <v>0</v>
      </c>
      <c r="E300" s="585">
        <v>12</v>
      </c>
      <c r="F300" s="254"/>
      <c r="G300" s="254"/>
    </row>
    <row r="301" spans="1:7" s="144" customFormat="1" ht="30" customHeight="1">
      <c r="A301" s="598" t="s">
        <v>332</v>
      </c>
      <c r="B301" s="604"/>
      <c r="C301" s="392"/>
      <c r="D301" s="394">
        <f t="shared" si="21"/>
        <v>0</v>
      </c>
      <c r="E301" s="585">
        <v>12</v>
      </c>
      <c r="F301" s="254"/>
      <c r="G301" s="254"/>
    </row>
    <row r="302" spans="1:7" s="144" customFormat="1" ht="30" customHeight="1">
      <c r="A302" s="598" t="s">
        <v>333</v>
      </c>
      <c r="B302" s="604"/>
      <c r="C302" s="392"/>
      <c r="D302" s="394">
        <f t="shared" si="21"/>
        <v>0</v>
      </c>
      <c r="E302" s="585">
        <v>12</v>
      </c>
      <c r="F302" s="254"/>
      <c r="G302" s="254"/>
    </row>
    <row r="303" spans="1:7" s="144" customFormat="1" ht="30" customHeight="1">
      <c r="A303" s="598" t="s">
        <v>334</v>
      </c>
      <c r="B303" s="604"/>
      <c r="C303" s="392"/>
      <c r="D303" s="394">
        <f t="shared" si="21"/>
        <v>0</v>
      </c>
      <c r="E303" s="585">
        <v>12</v>
      </c>
      <c r="F303" s="254"/>
      <c r="G303" s="254"/>
    </row>
    <row r="304" spans="1:7" s="144" customFormat="1" ht="30" customHeight="1">
      <c r="A304" s="598" t="s">
        <v>335</v>
      </c>
      <c r="B304" s="604"/>
      <c r="C304" s="392"/>
      <c r="D304" s="394">
        <f t="shared" si="21"/>
        <v>0</v>
      </c>
      <c r="E304" s="585">
        <v>12</v>
      </c>
      <c r="F304" s="254"/>
      <c r="G304" s="254"/>
    </row>
    <row r="305" spans="1:7" s="144" customFormat="1" ht="30" customHeight="1">
      <c r="A305" s="598" t="s">
        <v>336</v>
      </c>
      <c r="B305" s="604"/>
      <c r="C305" s="392"/>
      <c r="D305" s="394">
        <f t="shared" si="21"/>
        <v>0</v>
      </c>
      <c r="E305" s="585">
        <v>12</v>
      </c>
      <c r="F305" s="254"/>
      <c r="G305" s="254"/>
    </row>
    <row r="306" spans="1:7" s="144" customFormat="1" ht="30" customHeight="1">
      <c r="A306" s="598" t="s">
        <v>337</v>
      </c>
      <c r="B306" s="604"/>
      <c r="C306" s="392"/>
      <c r="D306" s="394">
        <f t="shared" si="21"/>
        <v>0</v>
      </c>
      <c r="E306" s="585">
        <v>12</v>
      </c>
      <c r="F306" s="254"/>
      <c r="G306" s="254"/>
    </row>
    <row r="307" spans="1:7" s="144" customFormat="1" ht="30" customHeight="1">
      <c r="A307" s="598" t="s">
        <v>338</v>
      </c>
      <c r="B307" s="604"/>
      <c r="C307" s="392"/>
      <c r="D307" s="394">
        <f t="shared" si="21"/>
        <v>0</v>
      </c>
      <c r="E307" s="585">
        <v>12</v>
      </c>
      <c r="F307" s="254"/>
      <c r="G307" s="254"/>
    </row>
    <row r="308" spans="1:7" s="144" customFormat="1" ht="24.75" customHeight="1">
      <c r="A308" s="598" t="s">
        <v>339</v>
      </c>
      <c r="B308" s="604"/>
      <c r="C308" s="392"/>
      <c r="D308" s="394">
        <f t="shared" si="21"/>
        <v>0</v>
      </c>
      <c r="E308" s="585">
        <v>12</v>
      </c>
      <c r="F308" s="254"/>
      <c r="G308" s="254"/>
    </row>
    <row r="309" spans="1:7" s="144" customFormat="1" ht="24.75" customHeight="1">
      <c r="A309" s="598" t="s">
        <v>340</v>
      </c>
      <c r="B309" s="604"/>
      <c r="C309" s="392"/>
      <c r="D309" s="394">
        <f t="shared" si="21"/>
        <v>0</v>
      </c>
      <c r="E309" s="585">
        <v>12</v>
      </c>
      <c r="F309" s="254"/>
      <c r="G309" s="254"/>
    </row>
    <row r="310" spans="1:7" s="144" customFormat="1" ht="24.75" customHeight="1">
      <c r="A310" s="598" t="s">
        <v>341</v>
      </c>
      <c r="B310" s="604"/>
      <c r="C310" s="392"/>
      <c r="D310" s="394">
        <f t="shared" si="21"/>
        <v>0</v>
      </c>
      <c r="E310" s="585">
        <v>12</v>
      </c>
      <c r="F310" s="254"/>
      <c r="G310" s="254"/>
    </row>
    <row r="311" spans="1:7" s="144" customFormat="1" ht="24.75" customHeight="1">
      <c r="A311" s="598" t="s">
        <v>342</v>
      </c>
      <c r="B311" s="604"/>
      <c r="C311" s="392"/>
      <c r="D311" s="394">
        <f t="shared" si="21"/>
        <v>0</v>
      </c>
      <c r="E311" s="585">
        <v>12</v>
      </c>
      <c r="F311" s="254"/>
      <c r="G311" s="254"/>
    </row>
    <row r="312" spans="1:7" s="144" customFormat="1" ht="24.75" customHeight="1" thickBot="1">
      <c r="A312" s="596"/>
      <c r="B312" s="597"/>
      <c r="C312" s="484">
        <f>SUM(C297:C311)</f>
        <v>0</v>
      </c>
      <c r="D312" s="484">
        <f>SUM(D297:D311)</f>
        <v>0</v>
      </c>
      <c r="E312" s="490">
        <f>IF(D312&gt;=1,12,0)</f>
        <v>0</v>
      </c>
      <c r="F312" s="254"/>
      <c r="G312" s="254"/>
    </row>
    <row r="313" s="144" customFormat="1" ht="24.75" customHeight="1">
      <c r="A313" s="380"/>
    </row>
    <row r="314" s="144" customFormat="1" ht="24.75" customHeight="1">
      <c r="A314" s="413"/>
    </row>
    <row r="315" s="144" customFormat="1" ht="24.75" customHeight="1">
      <c r="A315" s="380"/>
    </row>
    <row r="316" s="144" customFormat="1" ht="24.75" customHeight="1">
      <c r="A316" s="380"/>
    </row>
    <row r="317" s="144" customFormat="1" ht="24.75" customHeight="1">
      <c r="A317" s="380"/>
    </row>
    <row r="318" s="144" customFormat="1" ht="24.75" customHeight="1">
      <c r="A318" s="380"/>
    </row>
    <row r="319" s="144" customFormat="1" ht="24.75" customHeight="1">
      <c r="A319" s="380"/>
    </row>
    <row r="320" s="144" customFormat="1" ht="24.75" customHeight="1">
      <c r="A320" s="380"/>
    </row>
    <row r="321" s="144" customFormat="1" ht="24.75" customHeight="1">
      <c r="A321" s="380"/>
    </row>
    <row r="322" s="144" customFormat="1" ht="24.75" customHeight="1">
      <c r="A322" s="380"/>
    </row>
    <row r="323" s="144" customFormat="1" ht="24.75" customHeight="1">
      <c r="A323" s="380"/>
    </row>
    <row r="324" s="144" customFormat="1" ht="24.75" customHeight="1">
      <c r="A324" s="380"/>
    </row>
    <row r="325" s="144" customFormat="1" ht="24.75" customHeight="1">
      <c r="A325" s="380"/>
    </row>
    <row r="326" s="144" customFormat="1" ht="24.75" customHeight="1">
      <c r="A326" s="380"/>
    </row>
    <row r="327" s="144" customFormat="1" ht="24.75" customHeight="1">
      <c r="A327" s="380"/>
    </row>
    <row r="328" s="144" customFormat="1" ht="24.75" customHeight="1">
      <c r="A328" s="380"/>
    </row>
    <row r="329" s="144" customFormat="1" ht="24.75" customHeight="1">
      <c r="A329" s="380"/>
    </row>
    <row r="330" s="144" customFormat="1" ht="24.75" customHeight="1">
      <c r="A330" s="380"/>
    </row>
    <row r="331" s="144" customFormat="1" ht="24.75" customHeight="1">
      <c r="A331" s="380"/>
    </row>
    <row r="332" s="144" customFormat="1" ht="24.75" customHeight="1">
      <c r="A332" s="380"/>
    </row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</sheetData>
  <sheetProtection/>
  <mergeCells count="41">
    <mergeCell ref="B294:C294"/>
    <mergeCell ref="C295:E295"/>
    <mergeCell ref="AE80:AG80"/>
    <mergeCell ref="A1:G2"/>
    <mergeCell ref="C7:F7"/>
    <mergeCell ref="B98:G98"/>
    <mergeCell ref="B108:G108"/>
    <mergeCell ref="B118:G118"/>
    <mergeCell ref="G110:AG110"/>
    <mergeCell ref="B135:G135"/>
    <mergeCell ref="D289:F289"/>
    <mergeCell ref="E139:G139"/>
    <mergeCell ref="B149:G149"/>
    <mergeCell ref="D178:F178"/>
    <mergeCell ref="B121:B122"/>
    <mergeCell ref="C121:D121"/>
    <mergeCell ref="D242:F242"/>
    <mergeCell ref="B62:B64"/>
    <mergeCell ref="G63:G64"/>
    <mergeCell ref="E121:E122"/>
    <mergeCell ref="F121:G121"/>
    <mergeCell ref="AE62:AG62"/>
    <mergeCell ref="AE71:AG71"/>
    <mergeCell ref="AF72:AG73"/>
    <mergeCell ref="D62:D64"/>
    <mergeCell ref="AE240:AF240"/>
    <mergeCell ref="C72:D72"/>
    <mergeCell ref="C73:D73"/>
    <mergeCell ref="AE130:AG130"/>
    <mergeCell ref="AF131:AG131"/>
    <mergeCell ref="C62:C64"/>
    <mergeCell ref="C8:F8"/>
    <mergeCell ref="AE63:AE64"/>
    <mergeCell ref="AF63:AG64"/>
    <mergeCell ref="D187:F187"/>
    <mergeCell ref="P10:R10"/>
    <mergeCell ref="H16:K16"/>
    <mergeCell ref="H8:K8"/>
    <mergeCell ref="A28:G28"/>
    <mergeCell ref="E62:G62"/>
    <mergeCell ref="P19:R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39" r:id="rId4"/>
  <rowBreaks count="5" manualBreakCount="5">
    <brk id="59" max="17" man="1"/>
    <brk id="150" max="17" man="1"/>
    <brk id="184" max="17" man="1"/>
    <brk id="231" max="17" man="1"/>
    <brk id="287" max="17" man="1"/>
  </rowBreaks>
  <colBreaks count="1" manualBreakCount="1">
    <brk id="7" max="31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O47"/>
  <sheetViews>
    <sheetView view="pageBreakPreview" zoomScaleNormal="90" zoomScaleSheetLayoutView="100" zoomScalePageLayoutView="70" workbookViewId="0" topLeftCell="A30">
      <selection activeCell="B3" sqref="B3:L3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0" customWidth="1"/>
    <col min="6" max="6" width="9.00390625" style="0" customWidth="1"/>
    <col min="7" max="7" width="7.57421875" style="0" customWidth="1"/>
    <col min="8" max="8" width="9.57421875" style="136" customWidth="1"/>
    <col min="9" max="9" width="10.8515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ht="12.75"/>
    <row r="2" spans="2:12" ht="15.75">
      <c r="B2" s="809" t="s">
        <v>0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</row>
    <row r="3" spans="2:12" ht="16.5" thickBot="1">
      <c r="B3" s="810" t="s">
        <v>373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</row>
    <row r="4" spans="2:12" ht="14.25" thickBot="1" thickTop="1">
      <c r="B4" s="1" t="s">
        <v>1</v>
      </c>
      <c r="C4" s="814" t="s">
        <v>2</v>
      </c>
      <c r="D4" s="815"/>
      <c r="E4" s="816"/>
      <c r="F4" s="13" t="s">
        <v>1</v>
      </c>
      <c r="G4" s="814" t="s">
        <v>374</v>
      </c>
      <c r="H4" s="815"/>
      <c r="I4" s="818"/>
      <c r="J4" s="818"/>
      <c r="K4" s="818"/>
      <c r="L4" s="819"/>
    </row>
    <row r="5" spans="2:12" ht="13.5" thickTop="1">
      <c r="B5" s="2">
        <v>1</v>
      </c>
      <c r="C5" s="3" t="s">
        <v>3</v>
      </c>
      <c r="D5" s="817" t="s">
        <v>386</v>
      </c>
      <c r="E5" s="813"/>
      <c r="F5" s="4">
        <v>1</v>
      </c>
      <c r="G5" s="820" t="s">
        <v>3</v>
      </c>
      <c r="H5" s="821"/>
      <c r="I5" s="811" t="str">
        <f>'IDENTITAS dan TANGGAL PENETAPAN'!C1</f>
        <v>Reza Syehma Bahtiar, S.Pd., M.Pd.</v>
      </c>
      <c r="J5" s="812"/>
      <c r="K5" s="812"/>
      <c r="L5" s="813"/>
    </row>
    <row r="6" spans="2:12" ht="12.75">
      <c r="B6" s="2">
        <v>2</v>
      </c>
      <c r="C6" s="3" t="s">
        <v>371</v>
      </c>
      <c r="D6" s="822" t="s">
        <v>387</v>
      </c>
      <c r="E6" s="823"/>
      <c r="F6" s="5">
        <v>2</v>
      </c>
      <c r="G6" s="826" t="s">
        <v>371</v>
      </c>
      <c r="H6" s="827"/>
      <c r="I6" s="830" t="str">
        <f>'IDENTITAS dan TANGGAL PENETAPAN'!C2</f>
        <v>15744 - ET.</v>
      </c>
      <c r="J6" s="831"/>
      <c r="K6" s="831"/>
      <c r="L6" s="832"/>
    </row>
    <row r="7" spans="2:12" ht="12.75">
      <c r="B7" s="2">
        <v>3</v>
      </c>
      <c r="C7" s="3" t="s">
        <v>6</v>
      </c>
      <c r="D7" s="799" t="s">
        <v>366</v>
      </c>
      <c r="E7" s="792"/>
      <c r="F7" s="5">
        <v>3</v>
      </c>
      <c r="G7" s="826" t="s">
        <v>6</v>
      </c>
      <c r="H7" s="827"/>
      <c r="I7" s="790" t="str">
        <f>CONCATENATE('IDENTITAS dan TANGGAL PENETAPAN'!C3," / ",'IDENTITAS dan TANGGAL PENETAPAN'!C4)</f>
        <v>Penata Muda TK.I / III-b</v>
      </c>
      <c r="J7" s="791"/>
      <c r="K7" s="791"/>
      <c r="L7" s="792"/>
    </row>
    <row r="8" spans="2:12" ht="12.75">
      <c r="B8" s="2">
        <v>4</v>
      </c>
      <c r="C8" s="3" t="s">
        <v>4</v>
      </c>
      <c r="D8" s="799" t="s">
        <v>105</v>
      </c>
      <c r="E8" s="792"/>
      <c r="F8" s="5">
        <v>4</v>
      </c>
      <c r="G8" s="826" t="s">
        <v>81</v>
      </c>
      <c r="H8" s="827"/>
      <c r="I8" s="790" t="str">
        <f>CONCATENATE('PENCARIAN AK'!C10,"/Dosen")</f>
        <v>Asisten Ahli/Dosen</v>
      </c>
      <c r="J8" s="791"/>
      <c r="K8" s="791"/>
      <c r="L8" s="792"/>
    </row>
    <row r="9" spans="2:12" ht="27.75" customHeight="1" thickBot="1">
      <c r="B9" s="130">
        <v>5</v>
      </c>
      <c r="C9" s="131" t="s">
        <v>5</v>
      </c>
      <c r="D9" s="828" t="s">
        <v>385</v>
      </c>
      <c r="E9" s="829"/>
      <c r="F9" s="132">
        <v>5</v>
      </c>
      <c r="G9" s="824" t="s">
        <v>87</v>
      </c>
      <c r="H9" s="825"/>
      <c r="I9" s="834" t="str">
        <f>CONCATENATE("Fakultas Bahasa dan Sains
",'IDENTITAS dan TANGGAL PENETAPAN'!C5)</f>
        <v>Fakultas Bahasa dan Sains
Universitas Wijaya Kusuma Surabaya</v>
      </c>
      <c r="J9" s="835"/>
      <c r="K9" s="835"/>
      <c r="L9" s="836"/>
    </row>
    <row r="10" spans="2:12" ht="21" customHeight="1" thickBot="1" thickTop="1">
      <c r="B10" s="803" t="s">
        <v>1</v>
      </c>
      <c r="C10" s="784" t="s">
        <v>24</v>
      </c>
      <c r="D10" s="785"/>
      <c r="E10" s="786"/>
      <c r="F10" s="803" t="s">
        <v>20</v>
      </c>
      <c r="G10" s="839" t="s">
        <v>7</v>
      </c>
      <c r="H10" s="840"/>
      <c r="I10" s="788"/>
      <c r="J10" s="788"/>
      <c r="K10" s="788"/>
      <c r="L10" s="789"/>
    </row>
    <row r="11" spans="2:12" ht="22.5" customHeight="1" thickBot="1" thickTop="1">
      <c r="B11" s="804"/>
      <c r="C11" s="787"/>
      <c r="D11" s="788"/>
      <c r="E11" s="789"/>
      <c r="F11" s="804"/>
      <c r="G11" s="800" t="s">
        <v>21</v>
      </c>
      <c r="H11" s="801"/>
      <c r="I11" s="6" t="s">
        <v>8</v>
      </c>
      <c r="J11" s="800" t="s">
        <v>9</v>
      </c>
      <c r="K11" s="801"/>
      <c r="L11" s="6" t="s">
        <v>10</v>
      </c>
    </row>
    <row r="12" spans="2:12" ht="22.5" customHeight="1" thickTop="1">
      <c r="B12" s="76"/>
      <c r="C12" s="108" t="s">
        <v>76</v>
      </c>
      <c r="D12" s="77"/>
      <c r="E12" s="78"/>
      <c r="F12" s="76"/>
      <c r="G12" s="79"/>
      <c r="H12" s="133"/>
      <c r="I12" s="81"/>
      <c r="J12" s="79"/>
      <c r="K12" s="80"/>
      <c r="L12" s="80"/>
    </row>
    <row r="13" spans="2:15" s="14" customFormat="1" ht="14.25" customHeight="1">
      <c r="B13" s="69">
        <v>1</v>
      </c>
      <c r="C13" s="837" t="s">
        <v>71</v>
      </c>
      <c r="D13" s="838"/>
      <c r="E13" s="74"/>
      <c r="F13" s="351" t="str">
        <f>IF('PENCARIAN AK'!G67=0,"-",'PENCARIAN AK'!G67)</f>
        <v>-</v>
      </c>
      <c r="G13" s="634" t="str">
        <f>IF('PENCARIAN AK'!AE67=0,"-",'PENCARIAN AK'!AE67)</f>
        <v>-</v>
      </c>
      <c r="H13" s="134">
        <f>IF(G13="-","","mata kuliah")</f>
      </c>
      <c r="I13" s="16" t="str">
        <f>IF(G13="-","-",100)</f>
        <v>-</v>
      </c>
      <c r="J13" s="637" t="str">
        <f>IF('PENCARIAN AK'!AF67=0,"-",'PENCARIAN AK'!AF67)</f>
        <v>-</v>
      </c>
      <c r="K13" s="75">
        <f>IF(J13="-","","bulan")</f>
      </c>
      <c r="L13" s="99" t="s">
        <v>72</v>
      </c>
      <c r="O13" s="100"/>
    </row>
    <row r="14" spans="2:12" s="14" customFormat="1" ht="14.25" customHeight="1">
      <c r="B14" s="69">
        <v>2</v>
      </c>
      <c r="C14" s="85" t="s">
        <v>73</v>
      </c>
      <c r="D14" s="84"/>
      <c r="E14" s="74"/>
      <c r="F14" s="351" t="str">
        <f>IF('PENCARIAN AK'!E76=0,"-",'PENCARIAN AK'!E76)</f>
        <v>-</v>
      </c>
      <c r="G14" s="634" t="str">
        <f>IF('PENCARIAN AK'!C76=0,"-",'PENCARIAN AK'!C76)</f>
        <v>-</v>
      </c>
      <c r="H14" s="134">
        <f>IF(G14="-","","mahasiswa")</f>
      </c>
      <c r="I14" s="16" t="str">
        <f aca="true" t="shared" si="0" ref="I14:I23">IF(G14="-","-",100)</f>
        <v>-</v>
      </c>
      <c r="J14" s="638" t="str">
        <f>IF('PENCARIAN AK'!AF76=0,"-",'PENCARIAN AK'!AF76)</f>
        <v>-</v>
      </c>
      <c r="K14" s="75">
        <f aca="true" t="shared" si="1" ref="K14:K19">IF(J14="-","","bulan")</f>
      </c>
      <c r="L14" s="98" t="s">
        <v>72</v>
      </c>
    </row>
    <row r="15" spans="2:12" s="14" customFormat="1" ht="14.25" customHeight="1">
      <c r="B15" s="16">
        <v>3</v>
      </c>
      <c r="C15" s="805" t="s">
        <v>82</v>
      </c>
      <c r="D15" s="806"/>
      <c r="E15" s="19"/>
      <c r="F15" s="351" t="str">
        <f>IF('PENCARIAN AK'!F85=0,"-",'PENCARIAN AK'!F85)</f>
        <v>-</v>
      </c>
      <c r="G15" s="634" t="str">
        <f>IF('PENCARIAN AK'!AE85=0,"-",'PENCARIAN AK'!AE85)</f>
        <v>-</v>
      </c>
      <c r="H15" s="134">
        <f>IF(G15="-","","kegiatan")</f>
      </c>
      <c r="I15" s="16" t="str">
        <f t="shared" si="0"/>
        <v>-</v>
      </c>
      <c r="J15" s="637" t="str">
        <f>IF('PENCARIAN AK'!AF82=0,"-",'PENCARIAN AK'!AF82)</f>
        <v>-</v>
      </c>
      <c r="K15" s="75">
        <f t="shared" si="1"/>
      </c>
      <c r="L15" s="99" t="s">
        <v>72</v>
      </c>
    </row>
    <row r="16" spans="2:12" s="14" customFormat="1" ht="14.25" customHeight="1">
      <c r="B16" s="16">
        <v>4</v>
      </c>
      <c r="C16" s="805" t="s">
        <v>83</v>
      </c>
      <c r="D16" s="806"/>
      <c r="E16" s="19"/>
      <c r="F16" s="351" t="str">
        <f>IF('PENCARIAN AK'!G112=0,"-",'PENCARIAN AK'!G112)</f>
        <v>-</v>
      </c>
      <c r="G16" s="634" t="str">
        <f>IF('PENCARIAN AK'!AE112=0,"-",'PENCARIAN AK'!AE112)</f>
        <v>-</v>
      </c>
      <c r="H16" s="134">
        <f>IF(G16="-","","kegiatan")</f>
      </c>
      <c r="I16" s="16" t="str">
        <f t="shared" si="0"/>
        <v>-</v>
      </c>
      <c r="J16" s="637" t="str">
        <f>IF('PENCARIAN AK'!AF112=0,"-",'PENCARIAN AK'!AF112)</f>
        <v>-</v>
      </c>
      <c r="K16" s="75">
        <f t="shared" si="1"/>
      </c>
      <c r="L16" s="99" t="s">
        <v>72</v>
      </c>
    </row>
    <row r="17" spans="2:12" s="14" customFormat="1" ht="14.25" customHeight="1">
      <c r="B17" s="16">
        <v>5</v>
      </c>
      <c r="C17" s="82" t="s">
        <v>80</v>
      </c>
      <c r="D17" s="83"/>
      <c r="E17" s="19"/>
      <c r="F17" s="351" t="str">
        <f>IF('PENCARIAN AK'!D133=0,"-",'PENCARIAN AK'!D133)</f>
        <v>-</v>
      </c>
      <c r="G17" s="634" t="str">
        <f>IF('PENCARIAN AK'!AE132=0,"-",'PENCARIAN AK'!AE132)</f>
        <v>-</v>
      </c>
      <c r="H17" s="134">
        <f>IF(G17="-","","kegiatan")</f>
      </c>
      <c r="I17" s="16" t="str">
        <f t="shared" si="0"/>
        <v>-</v>
      </c>
      <c r="J17" s="637" t="str">
        <f>IF('PENCARIAN AK'!AF132=0,"-",'PENCARIAN AK'!AF132)</f>
        <v>-</v>
      </c>
      <c r="K17" s="75">
        <f t="shared" si="1"/>
      </c>
      <c r="L17" s="99" t="s">
        <v>72</v>
      </c>
    </row>
    <row r="18" spans="2:12" s="14" customFormat="1" ht="14.25" customHeight="1">
      <c r="B18" s="16">
        <v>6</v>
      </c>
      <c r="C18" s="82" t="s">
        <v>74</v>
      </c>
      <c r="D18" s="83"/>
      <c r="E18" s="19"/>
      <c r="F18" s="352" t="str">
        <f>IF('PENCARIAN AK'!F148=0,"-",'PENCARIAN AK'!F148)</f>
        <v>-</v>
      </c>
      <c r="G18" s="634" t="str">
        <f>IF('PENCARIAN AK'!E148=0,"-",'PENCARIAN AK'!E148)</f>
        <v>-</v>
      </c>
      <c r="H18" s="134">
        <f>IF(G18="-","","kegiatan")</f>
      </c>
      <c r="I18" s="16" t="str">
        <f t="shared" si="0"/>
        <v>-</v>
      </c>
      <c r="J18" s="637" t="str">
        <f>IF('PENCARIAN AK'!G148=0,"-",'PENCARIAN AK'!G148)</f>
        <v>-</v>
      </c>
      <c r="K18" s="75">
        <f t="shared" si="1"/>
      </c>
      <c r="L18" s="99" t="s">
        <v>72</v>
      </c>
    </row>
    <row r="19" spans="2:12" s="14" customFormat="1" ht="14.25" customHeight="1">
      <c r="B19" s="16">
        <v>7</v>
      </c>
      <c r="C19" s="844" t="s">
        <v>75</v>
      </c>
      <c r="D19" s="845"/>
      <c r="E19" s="19"/>
      <c r="F19" s="350" t="str">
        <f>IF('PENCARIAN AK'!D182=0,"-",'PENCARIAN AK'!D182)</f>
        <v>-</v>
      </c>
      <c r="G19" s="634" t="str">
        <f>IF('PENCARIAN AK'!E182=0,"-",'PENCARIAN AK'!E182)</f>
        <v>-</v>
      </c>
      <c r="H19" s="134">
        <f>IF(G19="-","","bahan")</f>
      </c>
      <c r="I19" s="16" t="str">
        <f t="shared" si="0"/>
        <v>-</v>
      </c>
      <c r="J19" s="637" t="str">
        <f>IF('PENCARIAN AK'!F180=0,"-",'PENCARIAN AK'!F180)</f>
        <v>-</v>
      </c>
      <c r="K19" s="75">
        <f t="shared" si="1"/>
      </c>
      <c r="L19" s="99" t="s">
        <v>72</v>
      </c>
    </row>
    <row r="20" spans="2:12" s="14" customFormat="1" ht="19.5" customHeight="1">
      <c r="B20" s="16">
        <v>8</v>
      </c>
      <c r="C20" s="795" t="s">
        <v>77</v>
      </c>
      <c r="D20" s="796"/>
      <c r="E20" s="19"/>
      <c r="F20" s="352"/>
      <c r="G20" s="635"/>
      <c r="H20" s="135"/>
      <c r="I20" s="16"/>
      <c r="J20" s="637"/>
      <c r="K20" s="17"/>
      <c r="L20" s="99"/>
    </row>
    <row r="21" spans="2:12" s="14" customFormat="1" ht="14.25" customHeight="1">
      <c r="B21" s="16"/>
      <c r="C21" s="844" t="s">
        <v>78</v>
      </c>
      <c r="D21" s="845"/>
      <c r="E21" s="19"/>
      <c r="F21" s="352" t="str">
        <f>IF('PENCARIAN AK'!E207=0,"-",'PENCARIAN AK'!E207)</f>
        <v>-</v>
      </c>
      <c r="G21" s="635" t="str">
        <f>IF('PENCARIAN AK'!D207=0,"-",'PENCARIAN AK'!D207)</f>
        <v>-</v>
      </c>
      <c r="H21" s="134">
        <f>IF(G21="-","","karya")</f>
      </c>
      <c r="I21" s="16" t="str">
        <f t="shared" si="0"/>
        <v>-</v>
      </c>
      <c r="J21" s="637" t="str">
        <f>IF('PENCARIAN AK'!F189=0,"-",'PENCARIAN AK'!F189)</f>
        <v>-</v>
      </c>
      <c r="K21" s="75">
        <f>IF(G21="-","","bulan")</f>
      </c>
      <c r="L21" s="99" t="s">
        <v>72</v>
      </c>
    </row>
    <row r="22" spans="2:12" s="14" customFormat="1" ht="19.5" customHeight="1">
      <c r="B22" s="16">
        <v>9</v>
      </c>
      <c r="C22" s="795" t="s">
        <v>79</v>
      </c>
      <c r="D22" s="796"/>
      <c r="E22" s="19"/>
      <c r="F22" s="352"/>
      <c r="G22" s="635"/>
      <c r="H22" s="135"/>
      <c r="I22" s="16"/>
      <c r="J22" s="637"/>
      <c r="K22" s="17"/>
      <c r="L22" s="99"/>
    </row>
    <row r="23" spans="2:12" s="14" customFormat="1" ht="14.25" customHeight="1">
      <c r="B23" s="69"/>
      <c r="C23" s="833" t="s">
        <v>263</v>
      </c>
      <c r="D23" s="806"/>
      <c r="E23" s="19"/>
      <c r="F23" s="352" t="str">
        <f>IF('PENCARIAN AK'!D244=0,"-",'PENCARIAN AK'!D244)</f>
        <v>-</v>
      </c>
      <c r="G23" s="635" t="str">
        <f>IF('PENCARIAN AK'!E244=0,"-",'PENCARIAN AK'!E244)</f>
        <v>-</v>
      </c>
      <c r="H23" s="134">
        <f>IF(G23="-","","kegiatan")</f>
      </c>
      <c r="I23" s="16" t="str">
        <f t="shared" si="0"/>
        <v>-</v>
      </c>
      <c r="J23" s="637" t="str">
        <f>IF('PENCARIAN AK'!F244=0,"-",'PENCARIAN AK'!F244)</f>
        <v>-</v>
      </c>
      <c r="K23" s="75">
        <f>IF(G23="-","","bulan")</f>
      </c>
      <c r="L23" s="99" t="s">
        <v>72</v>
      </c>
    </row>
    <row r="24" spans="2:12" s="14" customFormat="1" ht="19.5" customHeight="1">
      <c r="B24" s="16">
        <v>10</v>
      </c>
      <c r="C24" s="807" t="s">
        <v>84</v>
      </c>
      <c r="D24" s="808"/>
      <c r="E24" s="19"/>
      <c r="F24" s="352"/>
      <c r="G24" s="635"/>
      <c r="H24" s="135"/>
      <c r="I24" s="16"/>
      <c r="J24" s="637"/>
      <c r="K24" s="17"/>
      <c r="L24" s="99"/>
    </row>
    <row r="25" spans="2:12" s="14" customFormat="1" ht="18" customHeight="1">
      <c r="B25" s="554"/>
      <c r="C25" s="797" t="str">
        <f>'PENCARIAN AK'!B247</f>
        <v>Semester Genap 2018/2019</v>
      </c>
      <c r="D25" s="798"/>
      <c r="E25" s="19"/>
      <c r="F25" s="352"/>
      <c r="G25" s="635"/>
      <c r="H25" s="135"/>
      <c r="I25" s="16"/>
      <c r="J25" s="637"/>
      <c r="K25" s="17"/>
      <c r="L25" s="99"/>
    </row>
    <row r="26" spans="2:12" s="14" customFormat="1" ht="28.5" customHeight="1">
      <c r="B26" s="555" t="s">
        <v>314</v>
      </c>
      <c r="C26" s="793" t="str">
        <f>'PENCARIAN AK'!C291</f>
        <v> </v>
      </c>
      <c r="D26" s="794"/>
      <c r="E26" s="19"/>
      <c r="F26" s="352" t="str">
        <f>IF('PENCARIAN AK'!D291=0,"-",'PENCARIAN AK'!D291)</f>
        <v>-</v>
      </c>
      <c r="G26" s="635" t="str">
        <f>IF('PENCARIAN AK'!E291=0,"-",'PENCARIAN AK'!E291)</f>
        <v>-</v>
      </c>
      <c r="H26" s="135" t="str">
        <f>IF(G26=1,"Jabatan"," ")</f>
        <v> </v>
      </c>
      <c r="I26" s="16" t="str">
        <f>IF(G26=1,100," ")</f>
        <v> </v>
      </c>
      <c r="J26" s="637" t="str">
        <f>IF(G26=1,6,"-")</f>
        <v>-</v>
      </c>
      <c r="K26" s="75">
        <f>IF(J26="-","","bulan")</f>
      </c>
      <c r="L26" s="99" t="s">
        <v>72</v>
      </c>
    </row>
    <row r="27" spans="2:12" s="14" customFormat="1" ht="18" customHeight="1">
      <c r="B27" s="69"/>
      <c r="C27" s="797" t="str">
        <f>'PENCARIAN AK'!B268</f>
        <v>Semester Gasal 2019/2020</v>
      </c>
      <c r="D27" s="798"/>
      <c r="E27" s="19"/>
      <c r="F27" s="352"/>
      <c r="G27" s="635"/>
      <c r="H27" s="135"/>
      <c r="I27" s="16"/>
      <c r="J27" s="637"/>
      <c r="K27" s="75"/>
      <c r="L27" s="99"/>
    </row>
    <row r="28" spans="2:12" s="14" customFormat="1" ht="28.5" customHeight="1">
      <c r="B28" s="556" t="s">
        <v>315</v>
      </c>
      <c r="C28" s="793" t="str">
        <f>'PENCARIAN AK'!C292</f>
        <v> </v>
      </c>
      <c r="D28" s="794"/>
      <c r="E28" s="19"/>
      <c r="F28" s="352" t="str">
        <f>IF('PENCARIAN AK'!D292=0,"-",'PENCARIAN AK'!D292)</f>
        <v>-</v>
      </c>
      <c r="G28" s="635" t="str">
        <f>IF('PENCARIAN AK'!E292=0,"-",'PENCARIAN AK'!E292)</f>
        <v>-</v>
      </c>
      <c r="H28" s="135" t="str">
        <f>IF(G28=1,"Jabatan"," ")</f>
        <v> </v>
      </c>
      <c r="I28" s="16" t="str">
        <f>IF(G28=1,100," ")</f>
        <v> </v>
      </c>
      <c r="J28" s="637" t="str">
        <f>IF(G28=1,6,"-")</f>
        <v>-</v>
      </c>
      <c r="K28" s="75">
        <f>IF(J28="-","","bulan")</f>
      </c>
      <c r="L28" s="194" t="s">
        <v>72</v>
      </c>
    </row>
    <row r="29" spans="1:12" s="14" customFormat="1" ht="27" customHeight="1" thickBot="1">
      <c r="A29" s="191"/>
      <c r="B29" s="16">
        <v>11</v>
      </c>
      <c r="C29" s="798" t="s">
        <v>343</v>
      </c>
      <c r="D29" s="798"/>
      <c r="E29" s="19"/>
      <c r="F29" s="352" t="str">
        <f>IF('PENCARIAN AK'!C312=0,"-",'PENCARIAN AK'!C312)</f>
        <v>-</v>
      </c>
      <c r="G29" s="636" t="str">
        <f>IF('PENCARIAN AK'!D312=0,"-",'PENCARIAN AK'!D312)</f>
        <v>-</v>
      </c>
      <c r="H29" s="134">
        <f>IF(G29="-","","kegiatan")</f>
      </c>
      <c r="I29" s="16" t="str">
        <f>IF(G29="-","-",100)</f>
        <v>-</v>
      </c>
      <c r="J29" s="637" t="str">
        <f>IF('PENCARIAN AK'!E312=0,"-",'PENCARIAN AK'!E312)</f>
        <v>-</v>
      </c>
      <c r="K29" s="75">
        <f>IF(G29="-","","bulan")</f>
      </c>
      <c r="L29" s="99" t="s">
        <v>72</v>
      </c>
    </row>
    <row r="30" spans="1:12" s="14" customFormat="1" ht="19.5" customHeight="1" thickBot="1" thickTop="1">
      <c r="A30" s="192"/>
      <c r="B30" s="195"/>
      <c r="C30" s="842"/>
      <c r="D30" s="842"/>
      <c r="E30" s="197"/>
      <c r="F30" s="379">
        <f>SUM(F13:F29)</f>
        <v>0</v>
      </c>
      <c r="G30" s="196"/>
      <c r="H30" s="198"/>
      <c r="I30" s="199"/>
      <c r="J30" s="200"/>
      <c r="K30" s="199"/>
      <c r="L30" s="193"/>
    </row>
    <row r="31" spans="3:5" ht="6.75" customHeight="1" thickTop="1">
      <c r="C31" s="32"/>
      <c r="D31" s="32"/>
      <c r="E31" s="32"/>
    </row>
    <row r="32" spans="8:12" ht="12.75">
      <c r="H32" s="841"/>
      <c r="I32" s="841"/>
      <c r="J32" s="841"/>
      <c r="K32" s="841"/>
      <c r="L32" s="841"/>
    </row>
    <row r="33" spans="8:12" ht="12.75">
      <c r="H33" s="209"/>
      <c r="I33" s="136" t="str">
        <f>CONCATENATE("Surabaya, ",'IDENTITAS dan TANGGAL PENETAPAN'!C6)</f>
        <v>Surabaya, 2 Januari 2019</v>
      </c>
      <c r="J33" s="209"/>
      <c r="K33" s="209"/>
      <c r="L33" s="209"/>
    </row>
    <row r="34" spans="2:12" ht="12.75">
      <c r="B34" s="802" t="s">
        <v>23</v>
      </c>
      <c r="C34" s="802"/>
      <c r="D34" s="802"/>
      <c r="E34" s="802"/>
      <c r="F34" s="802"/>
      <c r="G34" s="12"/>
      <c r="H34" s="802" t="s">
        <v>11</v>
      </c>
      <c r="I34" s="802"/>
      <c r="J34" s="802"/>
      <c r="K34" s="802"/>
      <c r="L34" s="802"/>
    </row>
    <row r="35" spans="2:12" ht="12.75">
      <c r="B35" s="12"/>
      <c r="C35" s="12"/>
      <c r="D35" s="12"/>
      <c r="E35" s="12"/>
      <c r="F35" s="12"/>
      <c r="G35" s="12"/>
      <c r="I35" s="12"/>
      <c r="J35" s="12"/>
      <c r="K35" s="12"/>
      <c r="L35" s="12"/>
    </row>
    <row r="38" spans="2:12" ht="12.75">
      <c r="B38" s="843" t="str">
        <f>D5</f>
        <v>Dr. Fransisca Dwi Harjanti, M.Pd</v>
      </c>
      <c r="C38" s="843"/>
      <c r="D38" s="843"/>
      <c r="E38" s="843"/>
      <c r="F38" s="843"/>
      <c r="G38" s="12"/>
      <c r="H38" s="843" t="str">
        <f>I5</f>
        <v>Reza Syehma Bahtiar, S.Pd., M.Pd.</v>
      </c>
      <c r="I38" s="843"/>
      <c r="J38" s="843"/>
      <c r="K38" s="843"/>
      <c r="L38" s="843"/>
    </row>
    <row r="39" spans="2:12" ht="12.75">
      <c r="B39" s="802" t="str">
        <f>CONCATENATE("NIK",D6)</f>
        <v>NIK94239 - ET.</v>
      </c>
      <c r="C39" s="802"/>
      <c r="D39" s="802"/>
      <c r="E39" s="802"/>
      <c r="F39" s="802"/>
      <c r="H39" s="802" t="str">
        <f>CONCATENATE("NIK",I6)</f>
        <v>NIK15744 - ET.</v>
      </c>
      <c r="I39" s="802"/>
      <c r="J39" s="802"/>
      <c r="K39" s="802"/>
      <c r="L39" s="802"/>
    </row>
    <row r="41" spans="2:7" ht="12.75">
      <c r="B41" s="802"/>
      <c r="C41" s="802"/>
      <c r="D41" s="802"/>
      <c r="E41" s="802"/>
      <c r="F41" s="802"/>
      <c r="G41" s="12"/>
    </row>
    <row r="42" spans="2:12" ht="12.75">
      <c r="B42" s="67"/>
      <c r="C42" s="67"/>
      <c r="D42" s="67"/>
      <c r="E42" s="67"/>
      <c r="F42" s="67"/>
      <c r="G42" s="67"/>
      <c r="H42" s="137"/>
      <c r="I42" s="67"/>
      <c r="J42" s="67"/>
      <c r="K42" s="67"/>
      <c r="L42" s="67"/>
    </row>
    <row r="43" spans="2:12" ht="12.75">
      <c r="B43" s="67"/>
      <c r="C43" s="67"/>
      <c r="D43" s="67"/>
      <c r="E43" s="67"/>
      <c r="F43" s="67"/>
      <c r="G43" s="67"/>
      <c r="H43" s="137"/>
      <c r="I43" s="67"/>
      <c r="J43" s="67"/>
      <c r="K43" s="67"/>
      <c r="L43" s="67"/>
    </row>
    <row r="44" spans="2:12" ht="12.75">
      <c r="B44" s="67"/>
      <c r="C44" s="67"/>
      <c r="D44" s="67"/>
      <c r="E44" s="67"/>
      <c r="F44" s="67"/>
      <c r="G44" s="67"/>
      <c r="H44" s="137"/>
      <c r="I44" s="67"/>
      <c r="J44" s="67"/>
      <c r="K44" s="67"/>
      <c r="L44" s="67"/>
    </row>
    <row r="45" spans="2:12" ht="12.75">
      <c r="B45" s="67"/>
      <c r="C45" s="67"/>
      <c r="D45" s="67"/>
      <c r="E45" s="67"/>
      <c r="F45" s="67"/>
      <c r="G45" s="67"/>
      <c r="H45" s="137"/>
      <c r="I45" s="67"/>
      <c r="J45" s="67"/>
      <c r="K45" s="67"/>
      <c r="L45" s="67"/>
    </row>
    <row r="46" spans="2:12" ht="12.75">
      <c r="B46" s="67"/>
      <c r="C46" s="67"/>
      <c r="D46" s="67"/>
      <c r="E46" s="67"/>
      <c r="F46" s="67"/>
      <c r="G46" s="67"/>
      <c r="H46" s="137"/>
      <c r="I46" s="67"/>
      <c r="J46" s="67"/>
      <c r="K46" s="67"/>
      <c r="L46" s="67"/>
    </row>
    <row r="47" spans="2:12" ht="12.75">
      <c r="B47" s="67"/>
      <c r="C47" s="67"/>
      <c r="D47" s="67"/>
      <c r="E47" s="67"/>
      <c r="F47" s="67"/>
      <c r="G47" s="67"/>
      <c r="H47" s="137"/>
      <c r="I47" s="67"/>
      <c r="J47" s="67"/>
      <c r="K47" s="67"/>
      <c r="L47" s="67"/>
    </row>
  </sheetData>
  <sheetProtection/>
  <mergeCells count="48">
    <mergeCell ref="H32:L32"/>
    <mergeCell ref="C30:D30"/>
    <mergeCell ref="B41:F41"/>
    <mergeCell ref="B38:F38"/>
    <mergeCell ref="C19:D19"/>
    <mergeCell ref="H38:L38"/>
    <mergeCell ref="H39:L39"/>
    <mergeCell ref="C20:D20"/>
    <mergeCell ref="C21:D21"/>
    <mergeCell ref="H34:L34"/>
    <mergeCell ref="I6:L6"/>
    <mergeCell ref="C25:D25"/>
    <mergeCell ref="B39:F39"/>
    <mergeCell ref="C23:D23"/>
    <mergeCell ref="C29:D29"/>
    <mergeCell ref="I9:L9"/>
    <mergeCell ref="J11:K11"/>
    <mergeCell ref="F10:F11"/>
    <mergeCell ref="C13:D13"/>
    <mergeCell ref="G10:L10"/>
    <mergeCell ref="G4:L4"/>
    <mergeCell ref="G5:H5"/>
    <mergeCell ref="D6:E6"/>
    <mergeCell ref="G9:H9"/>
    <mergeCell ref="I8:L8"/>
    <mergeCell ref="G8:H8"/>
    <mergeCell ref="D8:E8"/>
    <mergeCell ref="D9:E9"/>
    <mergeCell ref="G6:H6"/>
    <mergeCell ref="G7:H7"/>
    <mergeCell ref="B34:F34"/>
    <mergeCell ref="B10:B11"/>
    <mergeCell ref="C15:D15"/>
    <mergeCell ref="C16:D16"/>
    <mergeCell ref="C24:D24"/>
    <mergeCell ref="B2:L2"/>
    <mergeCell ref="B3:L3"/>
    <mergeCell ref="I5:L5"/>
    <mergeCell ref="C4:E4"/>
    <mergeCell ref="D5:E5"/>
    <mergeCell ref="C10:E11"/>
    <mergeCell ref="I7:L7"/>
    <mergeCell ref="C26:D26"/>
    <mergeCell ref="C22:D22"/>
    <mergeCell ref="C27:D27"/>
    <mergeCell ref="C28:D28"/>
    <mergeCell ref="D7:E7"/>
    <mergeCell ref="G11:H11"/>
  </mergeCells>
  <printOptions/>
  <pageMargins left="2.834645669291339" right="0.5118110236220472" top="0.6692913385826772" bottom="0.1968503937007874" header="0.5118110236220472" footer="0.2755905511811024"/>
  <pageSetup horizontalDpi="600" verticalDpi="600" orientation="landscape" paperSize="9" scale="13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BH52"/>
  <sheetViews>
    <sheetView view="pageBreakPreview" zoomScale="90" zoomScaleSheetLayoutView="90" zoomScalePageLayoutView="85" workbookViewId="0" topLeftCell="A1">
      <selection activeCell="G14" sqref="G14"/>
    </sheetView>
  </sheetViews>
  <sheetFormatPr defaultColWidth="9.140625" defaultRowHeight="12.75"/>
  <cols>
    <col min="1" max="1" width="4.28125" style="0" customWidth="1"/>
    <col min="2" max="2" width="31.28125" style="0" customWidth="1"/>
    <col min="3" max="3" width="4.7109375" style="346" customWidth="1"/>
    <col min="4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346" customWidth="1"/>
    <col min="11" max="11" width="6.140625" style="0" customWidth="1"/>
    <col min="12" max="12" width="9.140625" style="0" customWidth="1"/>
    <col min="13" max="13" width="6.7109375" style="123" customWidth="1"/>
    <col min="14" max="16" width="6.8515625" style="0" customWidth="1"/>
    <col min="17" max="17" width="13.7109375" style="12" customWidth="1"/>
    <col min="18" max="18" width="13.421875" style="12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57421875" style="0" hidden="1" customWidth="1"/>
    <col min="25" max="25" width="8.57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57421875" style="0" hidden="1" customWidth="1"/>
    <col min="33" max="33" width="12.00390625" style="0" hidden="1" customWidth="1"/>
    <col min="34" max="43" width="9.140625" style="0" hidden="1" customWidth="1"/>
    <col min="44" max="59" width="0" style="0" hidden="1" customWidth="1"/>
    <col min="60" max="60" width="50.57421875" style="0" customWidth="1"/>
  </cols>
  <sheetData>
    <row r="1" spans="1:18" ht="15.75">
      <c r="A1" s="809" t="s">
        <v>18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</row>
    <row r="2" spans="1:18" ht="15.75">
      <c r="A2" s="809" t="s">
        <v>373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</row>
    <row r="3" spans="1:17" ht="4.5" customHeight="1">
      <c r="A3" s="802"/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</row>
    <row r="4" spans="1:14" ht="12.75">
      <c r="A4" s="112" t="str">
        <f>CONCATENATE("Jangka Waktu Penilaian: ",'IDENTITAS dan TANGGAL PENETAPAN'!C8)</f>
        <v>Jangka Waktu Penilaian: 2 Januari s.d. 31 Desember 2019</v>
      </c>
      <c r="B4" s="113"/>
      <c r="C4" s="342"/>
      <c r="D4" s="113"/>
      <c r="E4" s="113"/>
      <c r="F4" s="113"/>
      <c r="M4" s="119" t="s">
        <v>85</v>
      </c>
      <c r="N4" t="str">
        <f>SKP!I5</f>
        <v>Reza Syehma Bahtiar, S.Pd., M.Pd.</v>
      </c>
    </row>
    <row r="5" spans="1:14" ht="13.5" thickBot="1">
      <c r="A5" s="112"/>
      <c r="B5" s="113"/>
      <c r="C5" s="342"/>
      <c r="D5" s="8"/>
      <c r="E5" s="8"/>
      <c r="F5" s="8"/>
      <c r="M5" s="119" t="s">
        <v>371</v>
      </c>
      <c r="N5" t="str">
        <f>SKP!I6</f>
        <v>15744 - ET.</v>
      </c>
    </row>
    <row r="6" spans="1:36" ht="13.5" customHeight="1" thickBot="1" thickTop="1">
      <c r="A6" s="803" t="s">
        <v>1</v>
      </c>
      <c r="B6" s="849" t="s">
        <v>25</v>
      </c>
      <c r="C6" s="851" t="s">
        <v>20</v>
      </c>
      <c r="D6" s="839" t="s">
        <v>7</v>
      </c>
      <c r="E6" s="840"/>
      <c r="F6" s="840"/>
      <c r="G6" s="840"/>
      <c r="H6" s="840"/>
      <c r="I6" s="867"/>
      <c r="J6" s="853" t="s">
        <v>20</v>
      </c>
      <c r="K6" s="839" t="s">
        <v>12</v>
      </c>
      <c r="L6" s="840"/>
      <c r="M6" s="840"/>
      <c r="N6" s="840"/>
      <c r="O6" s="840"/>
      <c r="P6" s="867"/>
      <c r="Q6" s="862" t="s">
        <v>13</v>
      </c>
      <c r="R6" s="857" t="s">
        <v>19</v>
      </c>
      <c r="AB6" s="27"/>
      <c r="AC6" s="27"/>
      <c r="AD6" s="27"/>
      <c r="AE6" s="27"/>
      <c r="AF6" s="27"/>
      <c r="AG6" s="27"/>
      <c r="AH6" s="27"/>
      <c r="AI6" s="27"/>
      <c r="AJ6" s="27"/>
    </row>
    <row r="7" spans="1:34" ht="21.75" customHeight="1" thickBot="1" thickTop="1">
      <c r="A7" s="804"/>
      <c r="B7" s="850"/>
      <c r="C7" s="852"/>
      <c r="D7" s="855" t="s">
        <v>22</v>
      </c>
      <c r="E7" s="856"/>
      <c r="F7" s="7" t="s">
        <v>14</v>
      </c>
      <c r="G7" s="855" t="s">
        <v>15</v>
      </c>
      <c r="H7" s="856"/>
      <c r="I7" s="7" t="s">
        <v>16</v>
      </c>
      <c r="J7" s="854"/>
      <c r="K7" s="855" t="s">
        <v>88</v>
      </c>
      <c r="L7" s="856"/>
      <c r="M7" s="120" t="s">
        <v>89</v>
      </c>
      <c r="N7" s="855" t="s">
        <v>15</v>
      </c>
      <c r="O7" s="856"/>
      <c r="P7" s="7" t="s">
        <v>16</v>
      </c>
      <c r="Q7" s="863"/>
      <c r="R7" s="858"/>
      <c r="W7" s="28" t="s">
        <v>32</v>
      </c>
      <c r="X7" s="28" t="s">
        <v>33</v>
      </c>
      <c r="Y7" s="28" t="s">
        <v>26</v>
      </c>
      <c r="Z7" s="28" t="s">
        <v>27</v>
      </c>
      <c r="AA7" s="28" t="s">
        <v>28</v>
      </c>
      <c r="AB7" s="28" t="s">
        <v>29</v>
      </c>
      <c r="AC7" s="28" t="s">
        <v>36</v>
      </c>
      <c r="AD7" s="28" t="s">
        <v>37</v>
      </c>
      <c r="AE7" s="28" t="s">
        <v>38</v>
      </c>
      <c r="AF7" s="28" t="s">
        <v>39</v>
      </c>
      <c r="AG7" s="28"/>
      <c r="AH7" s="28"/>
    </row>
    <row r="8" spans="1:18" ht="7.5" customHeight="1" thickBot="1" thickTop="1">
      <c r="A8" s="9">
        <v>1</v>
      </c>
      <c r="B8" s="10">
        <v>2</v>
      </c>
      <c r="C8" s="343">
        <v>3</v>
      </c>
      <c r="D8" s="865">
        <v>4</v>
      </c>
      <c r="E8" s="866"/>
      <c r="F8" s="10">
        <v>5</v>
      </c>
      <c r="G8" s="865">
        <v>6</v>
      </c>
      <c r="H8" s="866"/>
      <c r="I8" s="10">
        <v>7</v>
      </c>
      <c r="J8" s="343">
        <v>8</v>
      </c>
      <c r="K8" s="865">
        <v>9</v>
      </c>
      <c r="L8" s="866"/>
      <c r="M8" s="121">
        <v>10</v>
      </c>
      <c r="N8" s="865">
        <v>11</v>
      </c>
      <c r="O8" s="866"/>
      <c r="P8" s="10">
        <v>12</v>
      </c>
      <c r="Q8" s="11">
        <v>13</v>
      </c>
      <c r="R8" s="10">
        <v>14</v>
      </c>
    </row>
    <row r="9" spans="1:18" s="90" customFormat="1" ht="24.75" customHeight="1" thickTop="1">
      <c r="A9" s="70"/>
      <c r="B9" s="125" t="str">
        <f>SKP!C12</f>
        <v>PELAKSANAAN PENDIDIKAN</v>
      </c>
      <c r="C9" s="344"/>
      <c r="D9" s="201"/>
      <c r="E9" s="202"/>
      <c r="F9" s="72"/>
      <c r="G9" s="201"/>
      <c r="H9" s="202"/>
      <c r="I9" s="71"/>
      <c r="J9" s="642"/>
      <c r="K9" s="201"/>
      <c r="L9" s="643"/>
      <c r="M9" s="639"/>
      <c r="N9" s="643"/>
      <c r="O9" s="202"/>
      <c r="P9" s="71"/>
      <c r="Q9" s="73"/>
      <c r="R9" s="71"/>
    </row>
    <row r="10" spans="1:41" s="15" customFormat="1" ht="12" customHeight="1">
      <c r="A10" s="91">
        <f>SKP!B13</f>
        <v>1</v>
      </c>
      <c r="B10" s="86" t="str">
        <f>IF(SKP!C13=0," ",SKP!C13)</f>
        <v>Melaksanakan perkuliahan</v>
      </c>
      <c r="C10" s="107" t="str">
        <f>IF(SKP!F13=0," ",SKP!F13)</f>
        <v>-</v>
      </c>
      <c r="D10" s="617" t="str">
        <f>IF(SKP!G13=0," ",SKP!G13)</f>
        <v>-</v>
      </c>
      <c r="E10" s="142">
        <f>IF(SKP!H13=0," ",SKP!H13)</f>
      </c>
      <c r="F10" s="96" t="str">
        <f>IF(SKP!I13=0," ",SKP!I13)</f>
        <v>-</v>
      </c>
      <c r="G10" s="339" t="str">
        <f>IF(SKP!J13=0," ",SKP!J13)</f>
        <v>-</v>
      </c>
      <c r="H10" s="104">
        <f>IF(SKP!K13=0," ",SKP!K13)</f>
      </c>
      <c r="I10" s="203" t="s">
        <v>72</v>
      </c>
      <c r="J10" s="615" t="str">
        <f>C10</f>
        <v>-</v>
      </c>
      <c r="K10" s="619" t="str">
        <f aca="true" t="shared" si="0" ref="K10:K26">D10</f>
        <v>-</v>
      </c>
      <c r="L10" s="649">
        <f aca="true" t="shared" si="1" ref="L10:L26">E10</f>
      </c>
      <c r="M10" s="703">
        <v>85</v>
      </c>
      <c r="N10" s="617" t="str">
        <f aca="true" t="shared" si="2" ref="N10:N26">G10</f>
        <v>-</v>
      </c>
      <c r="O10" s="621">
        <f aca="true" t="shared" si="3" ref="O10:O26">H10</f>
      </c>
      <c r="P10" s="614" t="str">
        <f aca="true" t="shared" si="4" ref="P10:P26">I10</f>
        <v>-</v>
      </c>
      <c r="Q10" s="107" t="str">
        <f aca="true" t="shared" si="5" ref="Q10:Q16">_xlfn.IFERROR(AG10," ")</f>
        <v> </v>
      </c>
      <c r="R10" s="107" t="str">
        <f aca="true" t="shared" si="6" ref="R10:R16">_xlfn.IFERROR(IF(I10="-",IF(P10="-",Q10/3,Q10/4),Q10/4)," ")</f>
        <v> </v>
      </c>
      <c r="T10" s="15">
        <f aca="true" t="shared" si="7" ref="T10:T15">IF(D10&gt;0,1,0)</f>
        <v>1</v>
      </c>
      <c r="U10" s="15" t="str">
        <f aca="true" t="shared" si="8" ref="U10:U15">_xlfn.IFERROR(R10,0)</f>
        <v> </v>
      </c>
      <c r="W10" s="15" t="e">
        <f aca="true" t="shared" si="9" ref="W10:W15">100-(N10/G10*100)</f>
        <v>#VALUE!</v>
      </c>
      <c r="X10" s="29" t="e">
        <f aca="true" t="shared" si="10" ref="X10:X15">100-(P10/I10*100)</f>
        <v>#VALUE!</v>
      </c>
      <c r="Y10" s="15" t="e">
        <f aca="true" t="shared" si="11" ref="Y10:Y15">K10/D10*100</f>
        <v>#VALUE!</v>
      </c>
      <c r="Z10" s="15" t="e">
        <f aca="true" t="shared" si="12" ref="Z10:Z15">M10/F10*100</f>
        <v>#VALUE!</v>
      </c>
      <c r="AA10" s="25" t="e">
        <f aca="true" t="shared" si="13" ref="AA10:AA15">IF(W10&gt;24,AD10,AC10)</f>
        <v>#VALUE!</v>
      </c>
      <c r="AB10" s="25" t="e">
        <f aca="true" t="shared" si="14" ref="AB10:AB15">IF(X10&gt;24,AF10,AE10)</f>
        <v>#VALUE!</v>
      </c>
      <c r="AC10" s="15" t="e">
        <f aca="true" t="shared" si="15" ref="AC10:AC15">((1.76*G10-N10)/G10)*100</f>
        <v>#VALUE!</v>
      </c>
      <c r="AD10" s="15" t="e">
        <f aca="true" t="shared" si="16" ref="AD10:AD15">76-((((1.76*G10-N10)/G10)*100)-100)</f>
        <v>#VALUE!</v>
      </c>
      <c r="AE10" s="88" t="e">
        <f aca="true" t="shared" si="17" ref="AE10:AE15">((1.76*I10-P10)/I10)*100</f>
        <v>#VALUE!</v>
      </c>
      <c r="AF10" s="88" t="e">
        <f aca="true" t="shared" si="18" ref="AF10:AF15">76-((((1.76*I10-P10)/I10)*100)-100)</f>
        <v>#VALUE!</v>
      </c>
      <c r="AG10" s="88" t="e">
        <f aca="true" t="shared" si="19" ref="AG10:AG15">_xlfn.IFERROR(SUM(Y10:AB10),SUM(Y10:AA10))</f>
        <v>#VALUE!</v>
      </c>
      <c r="AH10" s="88"/>
      <c r="AK10" s="30" t="e">
        <f aca="true" t="shared" si="20" ref="AK10:AK15">100-(N10/G10*100)</f>
        <v>#VALUE!</v>
      </c>
      <c r="AL10" s="31" t="e">
        <f aca="true" t="shared" si="21" ref="AL10:AL15">100-(P10/I10*100)</f>
        <v>#VALUE!</v>
      </c>
      <c r="AM10" s="25" t="e">
        <f aca="true" t="shared" si="22" ref="AM10:AM15">IF(AND(AK10&gt;24,AL10&gt;24),(_xlfn.IFERROR(((K10/D10*100)+(M10/F10*100)+(76-((((1.76*G10-N10)/G10)*100)-100))+(76-((((1.76*I10-P10)/I10)*100)-100))),((K10/D10*100)+(M10/F10*100)+(76-((((1.76*G10-N10)/G10)*100)-100))))),(_xlfn.IFERROR(((K10/D10*100)+(M10/F10*100)+(((1.76*G10-N10)/G10)*100))+(((1.76*I10-P10)/I10)*100),((K10/D10*100)+(M10/F10*100)+(((1.76*G10-N10)/G10)*100)))))</f>
        <v>#VALUE!</v>
      </c>
      <c r="AN10" s="109" t="e">
        <f aca="true" t="shared" si="23" ref="AN10:AN15">IF(AK10&gt;24,(((K10/D10*100)+(M10/F10*100)+(76-((((1.76*G10-N10)/G10)*100)-100)))),(((K10/D10*100)+(M10/F10*100)+(((1.76*G10-N10)/G10)*100))))</f>
        <v>#VALUE!</v>
      </c>
      <c r="AO10" s="15" t="e">
        <f aca="true" t="shared" si="24" ref="AO10:AO15">_xlfn.IFERROR(AM10,AN10)</f>
        <v>#VALUE!</v>
      </c>
    </row>
    <row r="11" spans="1:41" s="15" customFormat="1" ht="12" customHeight="1">
      <c r="A11" s="93">
        <f>SKP!B14</f>
        <v>2</v>
      </c>
      <c r="B11" s="94" t="str">
        <f>SKP!C14</f>
        <v>Membimbing mahasiswa seminar</v>
      </c>
      <c r="C11" s="107" t="str">
        <f>IF(SKP!F14=0," ",SKP!F14)</f>
        <v>-</v>
      </c>
      <c r="D11" s="617" t="str">
        <f>IF(SKP!G14=0," ",SKP!G14)</f>
        <v>-</v>
      </c>
      <c r="E11" s="142">
        <f>IF(SKP!H14=0," ",SKP!H14)</f>
      </c>
      <c r="F11" s="96" t="str">
        <f>IF(SKP!I14=0," ",SKP!I14)</f>
        <v>-</v>
      </c>
      <c r="G11" s="339" t="str">
        <f>IF(SKP!J14=0," ",SKP!J14)</f>
        <v>-</v>
      </c>
      <c r="H11" s="104">
        <f>IF(SKP!K14=0," ",SKP!K14)</f>
      </c>
      <c r="I11" s="103" t="str">
        <f>SKP!L14</f>
        <v>-</v>
      </c>
      <c r="J11" s="615" t="str">
        <f aca="true" t="shared" si="25" ref="J11:J26">C11</f>
        <v>-</v>
      </c>
      <c r="K11" s="618" t="str">
        <f t="shared" si="0"/>
        <v>-</v>
      </c>
      <c r="L11" s="641">
        <f t="shared" si="1"/>
      </c>
      <c r="M11" s="704"/>
      <c r="N11" s="640" t="str">
        <f t="shared" si="2"/>
        <v>-</v>
      </c>
      <c r="O11" s="644">
        <f t="shared" si="3"/>
      </c>
      <c r="P11" s="614" t="str">
        <f t="shared" si="4"/>
        <v>-</v>
      </c>
      <c r="Q11" s="107" t="str">
        <f t="shared" si="5"/>
        <v> </v>
      </c>
      <c r="R11" s="107" t="str">
        <f t="shared" si="6"/>
        <v> </v>
      </c>
      <c r="T11" s="15">
        <f t="shared" si="7"/>
        <v>1</v>
      </c>
      <c r="U11" s="15" t="str">
        <f t="shared" si="8"/>
        <v> </v>
      </c>
      <c r="W11" s="15" t="e">
        <f t="shared" si="9"/>
        <v>#VALUE!</v>
      </c>
      <c r="X11" s="29" t="e">
        <f t="shared" si="10"/>
        <v>#VALUE!</v>
      </c>
      <c r="Y11" s="15" t="e">
        <f t="shared" si="11"/>
        <v>#VALUE!</v>
      </c>
      <c r="Z11" s="15" t="e">
        <f t="shared" si="12"/>
        <v>#VALUE!</v>
      </c>
      <c r="AA11" s="25" t="e">
        <f t="shared" si="13"/>
        <v>#VALUE!</v>
      </c>
      <c r="AB11" s="25" t="e">
        <f t="shared" si="14"/>
        <v>#VALUE!</v>
      </c>
      <c r="AC11" s="15" t="e">
        <f t="shared" si="15"/>
        <v>#VALUE!</v>
      </c>
      <c r="AD11" s="15" t="e">
        <f t="shared" si="16"/>
        <v>#VALUE!</v>
      </c>
      <c r="AE11" s="88" t="e">
        <f t="shared" si="17"/>
        <v>#VALUE!</v>
      </c>
      <c r="AF11" s="88" t="e">
        <f t="shared" si="18"/>
        <v>#VALUE!</v>
      </c>
      <c r="AG11" s="88" t="e">
        <f t="shared" si="19"/>
        <v>#VALUE!</v>
      </c>
      <c r="AH11" s="88"/>
      <c r="AK11" s="30" t="e">
        <f t="shared" si="20"/>
        <v>#VALUE!</v>
      </c>
      <c r="AL11" s="31" t="e">
        <f t="shared" si="21"/>
        <v>#VALUE!</v>
      </c>
      <c r="AM11" s="25" t="e">
        <f t="shared" si="22"/>
        <v>#VALUE!</v>
      </c>
      <c r="AN11" s="109" t="e">
        <f t="shared" si="23"/>
        <v>#VALUE!</v>
      </c>
      <c r="AO11" s="15" t="e">
        <f t="shared" si="24"/>
        <v>#VALUE!</v>
      </c>
    </row>
    <row r="12" spans="1:41" s="15" customFormat="1" ht="23.25" customHeight="1">
      <c r="A12" s="92">
        <f>SKP!B15</f>
        <v>3</v>
      </c>
      <c r="B12" s="87" t="str">
        <f>SKP!C15</f>
        <v>Membimbing mahasiswa KKN, Praktek Kerja Nyata, Praktek Kerja Lapangan</v>
      </c>
      <c r="C12" s="107" t="str">
        <f>IF(SKP!F15=0," ",SKP!F15)</f>
        <v>-</v>
      </c>
      <c r="D12" s="617" t="str">
        <f>IF(SKP!G15=0," ",SKP!G15)</f>
        <v>-</v>
      </c>
      <c r="E12" s="142">
        <f>IF(SKP!H15=0," ",SKP!H15)</f>
      </c>
      <c r="F12" s="96" t="str">
        <f>IF(SKP!I15=0," ",SKP!I15)</f>
        <v>-</v>
      </c>
      <c r="G12" s="339" t="str">
        <f>IF(SKP!J15=0," ",SKP!J15)</f>
        <v>-</v>
      </c>
      <c r="H12" s="104">
        <f>IF(SKP!K15=0," ",SKP!K15)</f>
      </c>
      <c r="I12" s="105" t="str">
        <f>SKP!L15</f>
        <v>-</v>
      </c>
      <c r="J12" s="615" t="str">
        <f t="shared" si="25"/>
        <v>-</v>
      </c>
      <c r="K12" s="619" t="str">
        <f t="shared" si="0"/>
        <v>-</v>
      </c>
      <c r="L12" s="649">
        <f t="shared" si="1"/>
      </c>
      <c r="M12" s="703"/>
      <c r="N12" s="617" t="str">
        <f t="shared" si="2"/>
        <v>-</v>
      </c>
      <c r="O12" s="621">
        <f t="shared" si="3"/>
      </c>
      <c r="P12" s="614" t="str">
        <f t="shared" si="4"/>
        <v>-</v>
      </c>
      <c r="Q12" s="107" t="str">
        <f t="shared" si="5"/>
        <v> </v>
      </c>
      <c r="R12" s="107" t="str">
        <f t="shared" si="6"/>
        <v> </v>
      </c>
      <c r="T12" s="15">
        <f t="shared" si="7"/>
        <v>1</v>
      </c>
      <c r="U12" s="15" t="str">
        <f t="shared" si="8"/>
        <v> </v>
      </c>
      <c r="W12" s="15" t="e">
        <f t="shared" si="9"/>
        <v>#VALUE!</v>
      </c>
      <c r="X12" s="29" t="e">
        <f t="shared" si="10"/>
        <v>#VALUE!</v>
      </c>
      <c r="Y12" s="15" t="e">
        <f t="shared" si="11"/>
        <v>#VALUE!</v>
      </c>
      <c r="Z12" s="15" t="e">
        <f t="shared" si="12"/>
        <v>#VALUE!</v>
      </c>
      <c r="AA12" s="25" t="e">
        <f t="shared" si="13"/>
        <v>#VALUE!</v>
      </c>
      <c r="AB12" s="25" t="e">
        <f t="shared" si="14"/>
        <v>#VALUE!</v>
      </c>
      <c r="AC12" s="15" t="e">
        <f t="shared" si="15"/>
        <v>#VALUE!</v>
      </c>
      <c r="AD12" s="15" t="e">
        <f t="shared" si="16"/>
        <v>#VALUE!</v>
      </c>
      <c r="AE12" s="88" t="e">
        <f t="shared" si="17"/>
        <v>#VALUE!</v>
      </c>
      <c r="AF12" s="88" t="e">
        <f t="shared" si="18"/>
        <v>#VALUE!</v>
      </c>
      <c r="AG12" s="88" t="e">
        <f t="shared" si="19"/>
        <v>#VALUE!</v>
      </c>
      <c r="AH12" s="88"/>
      <c r="AK12" s="30" t="e">
        <f t="shared" si="20"/>
        <v>#VALUE!</v>
      </c>
      <c r="AL12" s="31" t="e">
        <f t="shared" si="21"/>
        <v>#VALUE!</v>
      </c>
      <c r="AM12" s="25" t="e">
        <f t="shared" si="22"/>
        <v>#VALUE!</v>
      </c>
      <c r="AN12" s="109" t="e">
        <f t="shared" si="23"/>
        <v>#VALUE!</v>
      </c>
      <c r="AO12" s="15" t="e">
        <f t="shared" si="24"/>
        <v>#VALUE!</v>
      </c>
    </row>
    <row r="13" spans="1:41" s="15" customFormat="1" ht="23.25" customHeight="1">
      <c r="A13" s="91">
        <f>SKP!B16</f>
        <v>4</v>
      </c>
      <c r="B13" s="86" t="str">
        <f>SKP!C16</f>
        <v>Membimbing dan ikut membimbing dalam menghasilkan skripsi, thesis, disertasi</v>
      </c>
      <c r="C13" s="107" t="str">
        <f>IF(SKP!F16=0," ",SKP!F16)</f>
        <v>-</v>
      </c>
      <c r="D13" s="617" t="str">
        <f>IF(SKP!G16=0," ",SKP!G16)</f>
        <v>-</v>
      </c>
      <c r="E13" s="142">
        <f>IF(SKP!H16=0," ",SKP!H16)</f>
      </c>
      <c r="F13" s="96" t="str">
        <f>IF(SKP!I16=0," ",SKP!I16)</f>
        <v>-</v>
      </c>
      <c r="G13" s="339" t="str">
        <f>IF(SKP!J16=0," ",SKP!J16)</f>
        <v>-</v>
      </c>
      <c r="H13" s="104">
        <f>IF(SKP!K16=0," ",SKP!K16)</f>
      </c>
      <c r="I13" s="102" t="str">
        <f>SKP!L16</f>
        <v>-</v>
      </c>
      <c r="J13" s="615" t="str">
        <f t="shared" si="25"/>
        <v>-</v>
      </c>
      <c r="K13" s="618" t="str">
        <f t="shared" si="0"/>
        <v>-</v>
      </c>
      <c r="L13" s="641">
        <f t="shared" si="1"/>
      </c>
      <c r="M13" s="704"/>
      <c r="N13" s="640" t="str">
        <f t="shared" si="2"/>
        <v>-</v>
      </c>
      <c r="O13" s="644">
        <f t="shared" si="3"/>
      </c>
      <c r="P13" s="614" t="str">
        <f t="shared" si="4"/>
        <v>-</v>
      </c>
      <c r="Q13" s="107" t="str">
        <f t="shared" si="5"/>
        <v> </v>
      </c>
      <c r="R13" s="107" t="str">
        <f t="shared" si="6"/>
        <v> </v>
      </c>
      <c r="T13" s="15">
        <f t="shared" si="7"/>
        <v>1</v>
      </c>
      <c r="U13" s="15" t="str">
        <f t="shared" si="8"/>
        <v> </v>
      </c>
      <c r="W13" s="15" t="e">
        <f t="shared" si="9"/>
        <v>#VALUE!</v>
      </c>
      <c r="X13" s="29" t="e">
        <f t="shared" si="10"/>
        <v>#VALUE!</v>
      </c>
      <c r="Y13" s="15" t="e">
        <f t="shared" si="11"/>
        <v>#VALUE!</v>
      </c>
      <c r="Z13" s="15" t="e">
        <f t="shared" si="12"/>
        <v>#VALUE!</v>
      </c>
      <c r="AA13" s="25" t="e">
        <f t="shared" si="13"/>
        <v>#VALUE!</v>
      </c>
      <c r="AB13" s="25" t="e">
        <f t="shared" si="14"/>
        <v>#VALUE!</v>
      </c>
      <c r="AC13" s="15" t="e">
        <f t="shared" si="15"/>
        <v>#VALUE!</v>
      </c>
      <c r="AD13" s="15" t="e">
        <f t="shared" si="16"/>
        <v>#VALUE!</v>
      </c>
      <c r="AE13" s="88" t="e">
        <f t="shared" si="17"/>
        <v>#VALUE!</v>
      </c>
      <c r="AF13" s="88" t="e">
        <f t="shared" si="18"/>
        <v>#VALUE!</v>
      </c>
      <c r="AG13" s="88" t="e">
        <f t="shared" si="19"/>
        <v>#VALUE!</v>
      </c>
      <c r="AH13" s="88"/>
      <c r="AK13" s="30" t="e">
        <f t="shared" si="20"/>
        <v>#VALUE!</v>
      </c>
      <c r="AL13" s="31" t="e">
        <f t="shared" si="21"/>
        <v>#VALUE!</v>
      </c>
      <c r="AM13" s="25" t="e">
        <f t="shared" si="22"/>
        <v>#VALUE!</v>
      </c>
      <c r="AN13" s="109" t="e">
        <f t="shared" si="23"/>
        <v>#VALUE!</v>
      </c>
      <c r="AO13" s="15" t="e">
        <f t="shared" si="24"/>
        <v>#VALUE!</v>
      </c>
    </row>
    <row r="14" spans="1:60" s="15" customFormat="1" ht="23.25" customHeight="1">
      <c r="A14" s="92">
        <f>SKP!B17</f>
        <v>5</v>
      </c>
      <c r="B14" s="87" t="str">
        <f>SKP!C17</f>
        <v>Menjadi penguji Ujian Akhir baik sebagai ketua maupun anggota</v>
      </c>
      <c r="C14" s="107" t="str">
        <f>IF(SKP!F17=0," ",SKP!F17)</f>
        <v>-</v>
      </c>
      <c r="D14" s="617" t="str">
        <f>IF(SKP!G17=0," ",SKP!G17)</f>
        <v>-</v>
      </c>
      <c r="E14" s="142">
        <f>IF(SKP!H17=0," ",SKP!H17)</f>
      </c>
      <c r="F14" s="96" t="str">
        <f>IF(SKP!I17=0," ",SKP!I17)</f>
        <v>-</v>
      </c>
      <c r="G14" s="339" t="str">
        <f>IF(SKP!J17=0," ",SKP!J17)</f>
        <v>-</v>
      </c>
      <c r="H14" s="104">
        <f>IF(SKP!K17=0," ",SKP!K17)</f>
      </c>
      <c r="I14" s="105" t="str">
        <f>SKP!L17</f>
        <v>-</v>
      </c>
      <c r="J14" s="615" t="str">
        <f t="shared" si="25"/>
        <v>-</v>
      </c>
      <c r="K14" s="619" t="str">
        <f t="shared" si="0"/>
        <v>-</v>
      </c>
      <c r="L14" s="649">
        <f t="shared" si="1"/>
      </c>
      <c r="M14" s="703"/>
      <c r="N14" s="617" t="str">
        <f t="shared" si="2"/>
        <v>-</v>
      </c>
      <c r="O14" s="621">
        <f t="shared" si="3"/>
      </c>
      <c r="P14" s="614" t="str">
        <f t="shared" si="4"/>
        <v>-</v>
      </c>
      <c r="Q14" s="107" t="str">
        <f t="shared" si="5"/>
        <v> </v>
      </c>
      <c r="R14" s="107" t="str">
        <f t="shared" si="6"/>
        <v> </v>
      </c>
      <c r="T14" s="15">
        <f t="shared" si="7"/>
        <v>1</v>
      </c>
      <c r="U14" s="15" t="str">
        <f t="shared" si="8"/>
        <v> </v>
      </c>
      <c r="W14" s="15" t="e">
        <f t="shared" si="9"/>
        <v>#VALUE!</v>
      </c>
      <c r="X14" s="29" t="e">
        <f t="shared" si="10"/>
        <v>#VALUE!</v>
      </c>
      <c r="Y14" s="15" t="e">
        <f t="shared" si="11"/>
        <v>#VALUE!</v>
      </c>
      <c r="Z14" s="15" t="e">
        <f t="shared" si="12"/>
        <v>#VALUE!</v>
      </c>
      <c r="AA14" s="25" t="e">
        <f t="shared" si="13"/>
        <v>#VALUE!</v>
      </c>
      <c r="AB14" s="25" t="e">
        <f t="shared" si="14"/>
        <v>#VALUE!</v>
      </c>
      <c r="AC14" s="15" t="e">
        <f t="shared" si="15"/>
        <v>#VALUE!</v>
      </c>
      <c r="AD14" s="15" t="e">
        <f t="shared" si="16"/>
        <v>#VALUE!</v>
      </c>
      <c r="AE14" s="88" t="e">
        <f t="shared" si="17"/>
        <v>#VALUE!</v>
      </c>
      <c r="AF14" s="88" t="e">
        <f t="shared" si="18"/>
        <v>#VALUE!</v>
      </c>
      <c r="AG14" s="88" t="e">
        <f t="shared" si="19"/>
        <v>#VALUE!</v>
      </c>
      <c r="AH14" s="88"/>
      <c r="AK14" s="30" t="e">
        <f t="shared" si="20"/>
        <v>#VALUE!</v>
      </c>
      <c r="AL14" s="31" t="e">
        <f t="shared" si="21"/>
        <v>#VALUE!</v>
      </c>
      <c r="AM14" s="25" t="e">
        <f t="shared" si="22"/>
        <v>#VALUE!</v>
      </c>
      <c r="AN14" s="109" t="e">
        <f t="shared" si="23"/>
        <v>#VALUE!</v>
      </c>
      <c r="AO14" s="15" t="e">
        <f t="shared" si="24"/>
        <v>#VALUE!</v>
      </c>
      <c r="BH14" s="859" t="s">
        <v>354</v>
      </c>
    </row>
    <row r="15" spans="1:60" s="15" customFormat="1" ht="23.25" customHeight="1">
      <c r="A15" s="91">
        <f>SKP!B18</f>
        <v>6</v>
      </c>
      <c r="B15" s="86" t="str">
        <f>SKP!C18</f>
        <v>Membina kegiatan kemahasiswaan di bidang akademik dan kemahasiswaan</v>
      </c>
      <c r="C15" s="107" t="str">
        <f>IF(SKP!F18=0," ",SKP!F18)</f>
        <v>-</v>
      </c>
      <c r="D15" s="617" t="str">
        <f>IF(SKP!G18=0," ",SKP!G18)</f>
        <v>-</v>
      </c>
      <c r="E15" s="142">
        <f>IF(SKP!H18=0," ",SKP!H18)</f>
      </c>
      <c r="F15" s="96" t="str">
        <f>IF(SKP!I18=0," ",SKP!I18)</f>
        <v>-</v>
      </c>
      <c r="G15" s="339" t="str">
        <f>IF(SKP!J18=0," ",SKP!J18)</f>
        <v>-</v>
      </c>
      <c r="H15" s="104">
        <f>IF(SKP!K18=0," ",SKP!K18)</f>
      </c>
      <c r="I15" s="102" t="str">
        <f>SKP!L18</f>
        <v>-</v>
      </c>
      <c r="J15" s="706" t="str">
        <f t="shared" si="25"/>
        <v>-</v>
      </c>
      <c r="K15" s="618" t="str">
        <f>D15</f>
        <v>-</v>
      </c>
      <c r="L15" s="641">
        <f>E15</f>
      </c>
      <c r="M15" s="704"/>
      <c r="N15" s="640" t="str">
        <f t="shared" si="2"/>
        <v>-</v>
      </c>
      <c r="O15" s="644">
        <f t="shared" si="3"/>
      </c>
      <c r="P15" s="614" t="str">
        <f t="shared" si="4"/>
        <v>-</v>
      </c>
      <c r="Q15" s="107" t="str">
        <f t="shared" si="5"/>
        <v> </v>
      </c>
      <c r="R15" s="107" t="str">
        <f t="shared" si="6"/>
        <v> </v>
      </c>
      <c r="T15" s="15">
        <f t="shared" si="7"/>
        <v>1</v>
      </c>
      <c r="U15" s="15" t="str">
        <f t="shared" si="8"/>
        <v> </v>
      </c>
      <c r="W15" s="15" t="e">
        <f t="shared" si="9"/>
        <v>#VALUE!</v>
      </c>
      <c r="X15" s="29" t="e">
        <f t="shared" si="10"/>
        <v>#VALUE!</v>
      </c>
      <c r="Y15" s="15" t="e">
        <f t="shared" si="11"/>
        <v>#VALUE!</v>
      </c>
      <c r="Z15" s="15" t="e">
        <f t="shared" si="12"/>
        <v>#VALUE!</v>
      </c>
      <c r="AA15" s="25" t="e">
        <f t="shared" si="13"/>
        <v>#VALUE!</v>
      </c>
      <c r="AB15" s="25" t="e">
        <f t="shared" si="14"/>
        <v>#VALUE!</v>
      </c>
      <c r="AC15" s="15" t="e">
        <f t="shared" si="15"/>
        <v>#VALUE!</v>
      </c>
      <c r="AD15" s="15" t="e">
        <f t="shared" si="16"/>
        <v>#VALUE!</v>
      </c>
      <c r="AE15" s="88" t="e">
        <f t="shared" si="17"/>
        <v>#VALUE!</v>
      </c>
      <c r="AF15" s="88" t="e">
        <f t="shared" si="18"/>
        <v>#VALUE!</v>
      </c>
      <c r="AG15" s="88" t="e">
        <f t="shared" si="19"/>
        <v>#VALUE!</v>
      </c>
      <c r="AH15" s="88"/>
      <c r="AK15" s="30" t="e">
        <f t="shared" si="20"/>
        <v>#VALUE!</v>
      </c>
      <c r="AL15" s="31" t="e">
        <f t="shared" si="21"/>
        <v>#VALUE!</v>
      </c>
      <c r="AM15" s="25" t="e">
        <f t="shared" si="22"/>
        <v>#VALUE!</v>
      </c>
      <c r="AN15" s="109" t="e">
        <f t="shared" si="23"/>
        <v>#VALUE!</v>
      </c>
      <c r="AO15" s="15" t="e">
        <f t="shared" si="24"/>
        <v>#VALUE!</v>
      </c>
      <c r="BH15" s="860"/>
    </row>
    <row r="16" spans="1:60" s="15" customFormat="1" ht="12" customHeight="1">
      <c r="A16" s="92">
        <f>SKP!B19</f>
        <v>7</v>
      </c>
      <c r="B16" s="87" t="str">
        <f>SKP!C19</f>
        <v>Mengembangkan bahan kuliah</v>
      </c>
      <c r="C16" s="107" t="str">
        <f>IF(SKP!F19=0," ",SKP!F19)</f>
        <v>-</v>
      </c>
      <c r="D16" s="617" t="str">
        <f>IF(SKP!G19=0," ",SKP!G19)</f>
        <v>-</v>
      </c>
      <c r="E16" s="142">
        <f>IF(SKP!H19=0," ",SKP!H19)</f>
      </c>
      <c r="F16" s="96" t="str">
        <f>IF(SKP!I19=0," ",SKP!I19)</f>
        <v>-</v>
      </c>
      <c r="G16" s="339" t="str">
        <f>IF(SKP!J19=0," ",SKP!J19)</f>
        <v>-</v>
      </c>
      <c r="H16" s="104">
        <f>IF(SKP!K19=0," ",SKP!K19)</f>
      </c>
      <c r="I16" s="105" t="str">
        <f>SKP!L19</f>
        <v>-</v>
      </c>
      <c r="J16" s="615" t="str">
        <f t="shared" si="25"/>
        <v>-</v>
      </c>
      <c r="K16" s="619" t="str">
        <f t="shared" si="0"/>
        <v>-</v>
      </c>
      <c r="L16" s="649">
        <f t="shared" si="1"/>
      </c>
      <c r="M16" s="703"/>
      <c r="N16" s="617" t="str">
        <f t="shared" si="2"/>
        <v>-</v>
      </c>
      <c r="O16" s="621">
        <f t="shared" si="3"/>
      </c>
      <c r="P16" s="614" t="str">
        <f t="shared" si="4"/>
        <v>-</v>
      </c>
      <c r="Q16" s="107" t="str">
        <f t="shared" si="5"/>
        <v> </v>
      </c>
      <c r="R16" s="107" t="str">
        <f t="shared" si="6"/>
        <v> </v>
      </c>
      <c r="T16" s="15">
        <f aca="true" t="shared" si="26" ref="T16:T21">IF(D16&gt;0,1,0)</f>
        <v>1</v>
      </c>
      <c r="U16" s="15" t="str">
        <f aca="true" t="shared" si="27" ref="U16:U21">_xlfn.IFERROR(R16,0)</f>
        <v> </v>
      </c>
      <c r="W16" s="15" t="e">
        <f aca="true" t="shared" si="28" ref="W16:W21">100-(N16/G16*100)</f>
        <v>#VALUE!</v>
      </c>
      <c r="X16" s="29" t="e">
        <f aca="true" t="shared" si="29" ref="X16:X21">100-(P16/I16*100)</f>
        <v>#VALUE!</v>
      </c>
      <c r="Y16" s="15" t="e">
        <f aca="true" t="shared" si="30" ref="Y16:Y21">K16/D16*100</f>
        <v>#VALUE!</v>
      </c>
      <c r="Z16" s="15" t="e">
        <f aca="true" t="shared" si="31" ref="Z16:Z21">M16/F16*100</f>
        <v>#VALUE!</v>
      </c>
      <c r="AA16" s="25" t="e">
        <f aca="true" t="shared" si="32" ref="AA16:AA21">IF(W16&gt;24,AD16,AC16)</f>
        <v>#VALUE!</v>
      </c>
      <c r="AB16" s="25" t="e">
        <f aca="true" t="shared" si="33" ref="AB16:AB21">IF(X16&gt;24,AF16,AE16)</f>
        <v>#VALUE!</v>
      </c>
      <c r="AC16" s="15" t="e">
        <f aca="true" t="shared" si="34" ref="AC16:AC21">((1.76*G16-N16)/G16)*100</f>
        <v>#VALUE!</v>
      </c>
      <c r="AD16" s="15" t="e">
        <f aca="true" t="shared" si="35" ref="AD16:AD21">76-((((1.76*G16-N16)/G16)*100)-100)</f>
        <v>#VALUE!</v>
      </c>
      <c r="AE16" s="88" t="e">
        <f aca="true" t="shared" si="36" ref="AE16:AE21">((1.76*I16-P16)/I16)*100</f>
        <v>#VALUE!</v>
      </c>
      <c r="AF16" s="88" t="e">
        <f aca="true" t="shared" si="37" ref="AF16:AF21">76-((((1.76*I16-P16)/I16)*100)-100)</f>
        <v>#VALUE!</v>
      </c>
      <c r="AG16" s="88" t="e">
        <f aca="true" t="shared" si="38" ref="AG16:AG21">_xlfn.IFERROR(SUM(Y16:AB16),SUM(Y16:AA16))</f>
        <v>#VALUE!</v>
      </c>
      <c r="AH16" s="88"/>
      <c r="AI16" s="109"/>
      <c r="AJ16" s="109"/>
      <c r="AK16" s="30" t="e">
        <f aca="true" t="shared" si="39" ref="AK16:AK21">100-(N16/G16*100)</f>
        <v>#VALUE!</v>
      </c>
      <c r="AL16" s="31" t="e">
        <f aca="true" t="shared" si="40" ref="AL16:AL21">100-(P16/I16*100)</f>
        <v>#VALUE!</v>
      </c>
      <c r="AM16" s="25" t="e">
        <f aca="true" t="shared" si="41" ref="AM16:AM21"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#VALUE!</v>
      </c>
      <c r="AN16" s="109" t="e">
        <f aca="true" t="shared" si="42" ref="AN16:AN21">IF(AK16&gt;24,(((K16/D16*100)+(M16/F16*100)+(76-((((1.76*G16-N16)/G16)*100)-100)))),(((K16/D16*100)+(M16/F16*100)+(((1.76*G16-N16)/G16)*100))))</f>
        <v>#VALUE!</v>
      </c>
      <c r="AO16" s="15" t="e">
        <f aca="true" t="shared" si="43" ref="AO16:AO21">_xlfn.IFERROR(AM16,AN16)</f>
        <v>#VALUE!</v>
      </c>
      <c r="BH16" s="860"/>
    </row>
    <row r="17" spans="1:60" s="15" customFormat="1" ht="19.5" customHeight="1">
      <c r="A17" s="92">
        <f>SKP!B20</f>
        <v>8</v>
      </c>
      <c r="B17" s="110" t="str">
        <f>SKP!C20</f>
        <v>PELAKSANAAN PENELITIAN</v>
      </c>
      <c r="C17" s="106"/>
      <c r="D17" s="618"/>
      <c r="E17" s="138"/>
      <c r="F17" s="101"/>
      <c r="G17" s="340"/>
      <c r="H17" s="140"/>
      <c r="I17" s="102"/>
      <c r="J17" s="615"/>
      <c r="K17" s="618"/>
      <c r="L17" s="641"/>
      <c r="M17" s="704"/>
      <c r="N17" s="640"/>
      <c r="O17" s="644"/>
      <c r="P17" s="614"/>
      <c r="Q17" s="106"/>
      <c r="R17" s="106"/>
      <c r="T17" s="15">
        <f t="shared" si="26"/>
        <v>0</v>
      </c>
      <c r="U17" s="15">
        <f t="shared" si="27"/>
        <v>0</v>
      </c>
      <c r="W17" s="15" t="e">
        <f t="shared" si="28"/>
        <v>#DIV/0!</v>
      </c>
      <c r="X17" s="29" t="e">
        <f t="shared" si="29"/>
        <v>#DIV/0!</v>
      </c>
      <c r="Y17" s="15" t="e">
        <f t="shared" si="30"/>
        <v>#DIV/0!</v>
      </c>
      <c r="Z17" s="15" t="e">
        <f t="shared" si="31"/>
        <v>#DIV/0!</v>
      </c>
      <c r="AA17" s="25" t="e">
        <f t="shared" si="32"/>
        <v>#DIV/0!</v>
      </c>
      <c r="AB17" s="25" t="e">
        <f t="shared" si="33"/>
        <v>#DIV/0!</v>
      </c>
      <c r="AC17" s="15" t="e">
        <f t="shared" si="34"/>
        <v>#DIV/0!</v>
      </c>
      <c r="AD17" s="15" t="e">
        <f t="shared" si="35"/>
        <v>#DIV/0!</v>
      </c>
      <c r="AE17" s="88" t="e">
        <f t="shared" si="36"/>
        <v>#DIV/0!</v>
      </c>
      <c r="AF17" s="88" t="e">
        <f t="shared" si="37"/>
        <v>#DIV/0!</v>
      </c>
      <c r="AG17" s="88" t="e">
        <f t="shared" si="38"/>
        <v>#DIV/0!</v>
      </c>
      <c r="AH17" s="88"/>
      <c r="AK17" s="30" t="e">
        <f t="shared" si="39"/>
        <v>#DIV/0!</v>
      </c>
      <c r="AL17" s="31" t="e">
        <f t="shared" si="40"/>
        <v>#DIV/0!</v>
      </c>
      <c r="AM17" s="25" t="e">
        <f t="shared" si="41"/>
        <v>#DIV/0!</v>
      </c>
      <c r="AN17" s="109" t="e">
        <f t="shared" si="42"/>
        <v>#DIV/0!</v>
      </c>
      <c r="AO17" s="15" t="e">
        <f t="shared" si="43"/>
        <v>#DIV/0!</v>
      </c>
      <c r="BH17" s="860"/>
    </row>
    <row r="18" spans="1:60" s="15" customFormat="1" ht="12" customHeight="1">
      <c r="A18" s="92"/>
      <c r="B18" s="87" t="str">
        <f>SKP!C21</f>
        <v>Menghasilkan karya ilmiah</v>
      </c>
      <c r="C18" s="107" t="str">
        <f>IF(SKP!F21=0," ",SKP!F21)</f>
        <v>-</v>
      </c>
      <c r="D18" s="617" t="str">
        <f>IF(SKP!G21=0," ",SKP!G21)</f>
        <v>-</v>
      </c>
      <c r="E18" s="142">
        <f>IF(SKP!H21=0," ",SKP!H21)</f>
      </c>
      <c r="F18" s="96" t="str">
        <f>IF(SKP!I21=0," ",SKP!I21)</f>
        <v>-</v>
      </c>
      <c r="G18" s="339" t="str">
        <f>IF(SKP!J21=0," ",SKP!J21)</f>
        <v>-</v>
      </c>
      <c r="H18" s="104">
        <f>IF(SKP!K21=0," ",SKP!K21)</f>
      </c>
      <c r="I18" s="105" t="str">
        <f>SKP!L21</f>
        <v>-</v>
      </c>
      <c r="J18" s="615" t="str">
        <f t="shared" si="25"/>
        <v>-</v>
      </c>
      <c r="K18" s="619" t="str">
        <f t="shared" si="0"/>
        <v>-</v>
      </c>
      <c r="L18" s="649">
        <f t="shared" si="1"/>
      </c>
      <c r="M18" s="703"/>
      <c r="N18" s="617" t="str">
        <f t="shared" si="2"/>
        <v>-</v>
      </c>
      <c r="O18" s="621">
        <f t="shared" si="3"/>
      </c>
      <c r="P18" s="614" t="str">
        <f t="shared" si="4"/>
        <v>-</v>
      </c>
      <c r="Q18" s="107" t="str">
        <f>_xlfn.IFERROR(AG18," ")</f>
        <v> </v>
      </c>
      <c r="R18" s="107" t="str">
        <f>_xlfn.IFERROR(IF(I18="-",IF(P18="-",Q18/3,Q18/4),Q18/4)," ")</f>
        <v> </v>
      </c>
      <c r="T18" s="15">
        <f t="shared" si="26"/>
        <v>1</v>
      </c>
      <c r="U18" s="15" t="str">
        <f t="shared" si="27"/>
        <v> </v>
      </c>
      <c r="W18" s="15" t="e">
        <f t="shared" si="28"/>
        <v>#VALUE!</v>
      </c>
      <c r="X18" s="29" t="e">
        <f t="shared" si="29"/>
        <v>#VALUE!</v>
      </c>
      <c r="Y18" s="15" t="e">
        <f t="shared" si="30"/>
        <v>#VALUE!</v>
      </c>
      <c r="Z18" s="15" t="e">
        <f t="shared" si="31"/>
        <v>#VALUE!</v>
      </c>
      <c r="AA18" s="25" t="e">
        <f t="shared" si="32"/>
        <v>#VALUE!</v>
      </c>
      <c r="AB18" s="25" t="e">
        <f t="shared" si="33"/>
        <v>#VALUE!</v>
      </c>
      <c r="AC18" s="15" t="e">
        <f t="shared" si="34"/>
        <v>#VALUE!</v>
      </c>
      <c r="AD18" s="15" t="e">
        <f t="shared" si="35"/>
        <v>#VALUE!</v>
      </c>
      <c r="AE18" s="88" t="e">
        <f t="shared" si="36"/>
        <v>#VALUE!</v>
      </c>
      <c r="AF18" s="88" t="e">
        <f t="shared" si="37"/>
        <v>#VALUE!</v>
      </c>
      <c r="AG18" s="88" t="e">
        <f t="shared" si="38"/>
        <v>#VALUE!</v>
      </c>
      <c r="AH18" s="88"/>
      <c r="AK18" s="25" t="e">
        <f t="shared" si="39"/>
        <v>#VALUE!</v>
      </c>
      <c r="AL18" s="26" t="e">
        <f t="shared" si="40"/>
        <v>#VALUE!</v>
      </c>
      <c r="AM18" s="25" t="e">
        <f t="shared" si="41"/>
        <v>#VALUE!</v>
      </c>
      <c r="AN18" s="109" t="e">
        <f t="shared" si="42"/>
        <v>#VALUE!</v>
      </c>
      <c r="AO18" s="15" t="e">
        <f t="shared" si="43"/>
        <v>#VALUE!</v>
      </c>
      <c r="BH18" s="861"/>
    </row>
    <row r="19" spans="1:41" s="15" customFormat="1" ht="22.5" customHeight="1">
      <c r="A19" s="92">
        <f>SKP!B22</f>
        <v>9</v>
      </c>
      <c r="B19" s="110" t="str">
        <f>SKP!C22</f>
        <v>PELAKSANAAN PENGABDIAN KEPADA MASYARAKAT</v>
      </c>
      <c r="C19" s="106"/>
      <c r="D19" s="618"/>
      <c r="E19" s="138"/>
      <c r="F19" s="101"/>
      <c r="G19" s="340"/>
      <c r="H19" s="140"/>
      <c r="I19" s="102"/>
      <c r="J19" s="615"/>
      <c r="K19" s="618"/>
      <c r="L19" s="641"/>
      <c r="M19" s="704"/>
      <c r="N19" s="640"/>
      <c r="O19" s="644"/>
      <c r="P19" s="614"/>
      <c r="Q19" s="106"/>
      <c r="R19" s="106"/>
      <c r="T19" s="15">
        <f t="shared" si="26"/>
        <v>0</v>
      </c>
      <c r="U19" s="15">
        <f t="shared" si="27"/>
        <v>0</v>
      </c>
      <c r="W19" s="15" t="e">
        <f t="shared" si="28"/>
        <v>#DIV/0!</v>
      </c>
      <c r="X19" s="29" t="e">
        <f t="shared" si="29"/>
        <v>#DIV/0!</v>
      </c>
      <c r="Y19" s="15" t="e">
        <f t="shared" si="30"/>
        <v>#DIV/0!</v>
      </c>
      <c r="Z19" s="15" t="e">
        <f t="shared" si="31"/>
        <v>#DIV/0!</v>
      </c>
      <c r="AA19" s="25" t="e">
        <f t="shared" si="32"/>
        <v>#DIV/0!</v>
      </c>
      <c r="AB19" s="25" t="e">
        <f t="shared" si="33"/>
        <v>#DIV/0!</v>
      </c>
      <c r="AC19" s="15" t="e">
        <f t="shared" si="34"/>
        <v>#DIV/0!</v>
      </c>
      <c r="AD19" s="15" t="e">
        <f t="shared" si="35"/>
        <v>#DIV/0!</v>
      </c>
      <c r="AE19" s="88" t="e">
        <f t="shared" si="36"/>
        <v>#DIV/0!</v>
      </c>
      <c r="AF19" s="88" t="e">
        <f t="shared" si="37"/>
        <v>#DIV/0!</v>
      </c>
      <c r="AG19" s="88" t="e">
        <f t="shared" si="38"/>
        <v>#DIV/0!</v>
      </c>
      <c r="AH19" s="88"/>
      <c r="AK19" s="25" t="e">
        <f t="shared" si="39"/>
        <v>#DIV/0!</v>
      </c>
      <c r="AL19" s="26" t="e">
        <f t="shared" si="40"/>
        <v>#DIV/0!</v>
      </c>
      <c r="AM19" s="25" t="e">
        <f t="shared" si="41"/>
        <v>#DIV/0!</v>
      </c>
      <c r="AN19" s="109" t="e">
        <f t="shared" si="42"/>
        <v>#DIV/0!</v>
      </c>
      <c r="AO19" s="15" t="e">
        <f t="shared" si="43"/>
        <v>#DIV/0!</v>
      </c>
    </row>
    <row r="20" spans="1:41" s="15" customFormat="1" ht="12" customHeight="1">
      <c r="A20" s="92"/>
      <c r="B20" s="87" t="str">
        <f>SKP!C23</f>
        <v>Melaksanakan kegiatan Pengabdian Kepada Masyarakat</v>
      </c>
      <c r="C20" s="107" t="str">
        <f>IF(SKP!F23=0," ",SKP!F23)</f>
        <v>-</v>
      </c>
      <c r="D20" s="617" t="str">
        <f>IF(SKP!G23=0," ",SKP!G23)</f>
        <v>-</v>
      </c>
      <c r="E20" s="142">
        <f>IF(SKP!H23=0," ",SKP!H23)</f>
      </c>
      <c r="F20" s="96" t="str">
        <f>IF(SKP!I23=0," ",SKP!I23)</f>
        <v>-</v>
      </c>
      <c r="G20" s="339" t="str">
        <f>IF(SKP!J23=0," ",SKP!J23)</f>
        <v>-</v>
      </c>
      <c r="H20" s="104">
        <f>IF(SKP!K23=0," ",SKP!K23)</f>
      </c>
      <c r="I20" s="105" t="str">
        <f>SKP!L23</f>
        <v>-</v>
      </c>
      <c r="J20" s="615" t="str">
        <f t="shared" si="25"/>
        <v>-</v>
      </c>
      <c r="K20" s="619" t="str">
        <f t="shared" si="0"/>
        <v>-</v>
      </c>
      <c r="L20" s="649">
        <f t="shared" si="1"/>
      </c>
      <c r="M20" s="703"/>
      <c r="N20" s="617" t="str">
        <f t="shared" si="2"/>
        <v>-</v>
      </c>
      <c r="O20" s="621">
        <f t="shared" si="3"/>
      </c>
      <c r="P20" s="614" t="str">
        <f t="shared" si="4"/>
        <v>-</v>
      </c>
      <c r="Q20" s="107" t="str">
        <f>_xlfn.IFERROR(AG20," ")</f>
        <v> </v>
      </c>
      <c r="R20" s="107" t="str">
        <f>_xlfn.IFERROR(IF(I20="-",IF(P20="-",Q20/3,Q20/4),Q20/4)," ")</f>
        <v> </v>
      </c>
      <c r="T20" s="15">
        <f t="shared" si="26"/>
        <v>1</v>
      </c>
      <c r="U20" s="15" t="str">
        <f t="shared" si="27"/>
        <v> </v>
      </c>
      <c r="W20" s="15" t="e">
        <f t="shared" si="28"/>
        <v>#VALUE!</v>
      </c>
      <c r="X20" s="29" t="e">
        <f t="shared" si="29"/>
        <v>#VALUE!</v>
      </c>
      <c r="Y20" s="15" t="e">
        <f t="shared" si="30"/>
        <v>#VALUE!</v>
      </c>
      <c r="Z20" s="15" t="e">
        <f t="shared" si="31"/>
        <v>#VALUE!</v>
      </c>
      <c r="AA20" s="25" t="e">
        <f t="shared" si="32"/>
        <v>#VALUE!</v>
      </c>
      <c r="AB20" s="25" t="e">
        <f t="shared" si="33"/>
        <v>#VALUE!</v>
      </c>
      <c r="AC20" s="15" t="e">
        <f t="shared" si="34"/>
        <v>#VALUE!</v>
      </c>
      <c r="AD20" s="15" t="e">
        <f t="shared" si="35"/>
        <v>#VALUE!</v>
      </c>
      <c r="AE20" s="88" t="e">
        <f t="shared" si="36"/>
        <v>#VALUE!</v>
      </c>
      <c r="AF20" s="88" t="e">
        <f t="shared" si="37"/>
        <v>#VALUE!</v>
      </c>
      <c r="AG20" s="88" t="e">
        <f t="shared" si="38"/>
        <v>#VALUE!</v>
      </c>
      <c r="AH20" s="88"/>
      <c r="AK20" s="25" t="e">
        <f t="shared" si="39"/>
        <v>#VALUE!</v>
      </c>
      <c r="AL20" s="26" t="e">
        <f t="shared" si="40"/>
        <v>#VALUE!</v>
      </c>
      <c r="AM20" s="25" t="e">
        <f t="shared" si="41"/>
        <v>#VALUE!</v>
      </c>
      <c r="AN20" s="109" t="e">
        <f t="shared" si="42"/>
        <v>#VALUE!</v>
      </c>
      <c r="AO20" s="15" t="e">
        <f t="shared" si="43"/>
        <v>#VALUE!</v>
      </c>
    </row>
    <row r="21" spans="1:41" s="15" customFormat="1" ht="22.5" customHeight="1">
      <c r="A21" s="92">
        <f>SKP!B24</f>
        <v>10</v>
      </c>
      <c r="B21" s="110" t="str">
        <f>SKP!C24</f>
        <v>MENDUDUKI JABATAN PIMPINAN DI PERGURUAN TINGGI</v>
      </c>
      <c r="C21" s="106"/>
      <c r="D21" s="618"/>
      <c r="E21" s="204"/>
      <c r="F21" s="101"/>
      <c r="G21" s="340"/>
      <c r="H21" s="140"/>
      <c r="I21" s="102"/>
      <c r="J21" s="615"/>
      <c r="K21" s="618"/>
      <c r="L21" s="641"/>
      <c r="M21" s="704"/>
      <c r="N21" s="640"/>
      <c r="O21" s="644"/>
      <c r="P21" s="614"/>
      <c r="Q21" s="106"/>
      <c r="R21" s="106"/>
      <c r="T21" s="15">
        <f t="shared" si="26"/>
        <v>0</v>
      </c>
      <c r="U21" s="15">
        <f t="shared" si="27"/>
        <v>0</v>
      </c>
      <c r="W21" s="15" t="e">
        <f t="shared" si="28"/>
        <v>#DIV/0!</v>
      </c>
      <c r="X21" s="29" t="e">
        <f t="shared" si="29"/>
        <v>#DIV/0!</v>
      </c>
      <c r="Y21" s="15" t="e">
        <f t="shared" si="30"/>
        <v>#DIV/0!</v>
      </c>
      <c r="Z21" s="15" t="e">
        <f t="shared" si="31"/>
        <v>#DIV/0!</v>
      </c>
      <c r="AA21" s="25" t="e">
        <f t="shared" si="32"/>
        <v>#DIV/0!</v>
      </c>
      <c r="AB21" s="25" t="e">
        <f t="shared" si="33"/>
        <v>#DIV/0!</v>
      </c>
      <c r="AC21" s="15" t="e">
        <f t="shared" si="34"/>
        <v>#DIV/0!</v>
      </c>
      <c r="AD21" s="15" t="e">
        <f t="shared" si="35"/>
        <v>#DIV/0!</v>
      </c>
      <c r="AE21" s="88" t="e">
        <f t="shared" si="36"/>
        <v>#DIV/0!</v>
      </c>
      <c r="AF21" s="88" t="e">
        <f t="shared" si="37"/>
        <v>#DIV/0!</v>
      </c>
      <c r="AG21" s="88" t="e">
        <f t="shared" si="38"/>
        <v>#DIV/0!</v>
      </c>
      <c r="AH21" s="88"/>
      <c r="AK21" s="25" t="e">
        <f t="shared" si="39"/>
        <v>#DIV/0!</v>
      </c>
      <c r="AL21" s="26" t="e">
        <f t="shared" si="40"/>
        <v>#DIV/0!</v>
      </c>
      <c r="AM21" s="25" t="e">
        <f t="shared" si="41"/>
        <v>#DIV/0!</v>
      </c>
      <c r="AN21" s="109" t="e">
        <f t="shared" si="42"/>
        <v>#DIV/0!</v>
      </c>
      <c r="AO21" s="15" t="e">
        <f t="shared" si="43"/>
        <v>#DIV/0!</v>
      </c>
    </row>
    <row r="22" spans="1:40" s="15" customFormat="1" ht="15" customHeight="1">
      <c r="A22" s="92"/>
      <c r="B22" s="111" t="str">
        <f>SKP!C25</f>
        <v>Semester Genap 2018/2019</v>
      </c>
      <c r="C22" s="107"/>
      <c r="D22" s="619"/>
      <c r="E22" s="205"/>
      <c r="F22" s="104"/>
      <c r="G22" s="341"/>
      <c r="H22" s="142"/>
      <c r="I22" s="105"/>
      <c r="J22" s="615"/>
      <c r="K22" s="619"/>
      <c r="L22" s="649"/>
      <c r="M22" s="703"/>
      <c r="N22" s="617"/>
      <c r="O22" s="621"/>
      <c r="P22" s="614"/>
      <c r="Q22" s="107"/>
      <c r="R22" s="107"/>
      <c r="X22" s="29"/>
      <c r="AA22" s="25"/>
      <c r="AB22" s="25"/>
      <c r="AE22" s="88"/>
      <c r="AF22" s="88"/>
      <c r="AG22" s="88"/>
      <c r="AH22" s="88"/>
      <c r="AK22" s="25"/>
      <c r="AL22" s="26"/>
      <c r="AM22" s="25"/>
      <c r="AN22" s="109"/>
    </row>
    <row r="23" spans="1:41" s="15" customFormat="1" ht="12" customHeight="1">
      <c r="A23" s="92" t="str">
        <f>SKP!B26</f>
        <v>10.1</v>
      </c>
      <c r="B23" s="87" t="str">
        <f>IF(SKP!C26=" ","-",SKP!C26)</f>
        <v>-</v>
      </c>
      <c r="C23" s="107" t="str">
        <f>IF(SKP!F26=0," ",SKP!F26)</f>
        <v>-</v>
      </c>
      <c r="D23" s="617" t="str">
        <f>IF(SKP!G26=0," ",SKP!G26)</f>
        <v>-</v>
      </c>
      <c r="E23" s="142" t="str">
        <f>IF(SKP!H26=0," ",SKP!H26)</f>
        <v> </v>
      </c>
      <c r="F23" s="96" t="str">
        <f>IF(SKP!I26=0," ",SKP!I26)</f>
        <v> </v>
      </c>
      <c r="G23" s="339" t="str">
        <f>IF(SKP!J26=0," ",SKP!J26)</f>
        <v>-</v>
      </c>
      <c r="H23" s="104">
        <f>IF(SKP!K26=0," ",SKP!K26)</f>
      </c>
      <c r="I23" s="105" t="str">
        <f>SKP!L26</f>
        <v>-</v>
      </c>
      <c r="J23" s="615" t="str">
        <f t="shared" si="25"/>
        <v>-</v>
      </c>
      <c r="K23" s="618" t="str">
        <f t="shared" si="0"/>
        <v>-</v>
      </c>
      <c r="L23" s="641" t="str">
        <f t="shared" si="1"/>
        <v> </v>
      </c>
      <c r="M23" s="704"/>
      <c r="N23" s="640" t="str">
        <f t="shared" si="2"/>
        <v>-</v>
      </c>
      <c r="O23" s="644">
        <f t="shared" si="3"/>
      </c>
      <c r="P23" s="614" t="str">
        <f t="shared" si="4"/>
        <v>-</v>
      </c>
      <c r="Q23" s="107" t="str">
        <f>_xlfn.IFERROR(AG23," ")</f>
        <v> </v>
      </c>
      <c r="R23" s="107" t="str">
        <f>_xlfn.IFERROR(IF(I23="-",IF(P23="-",Q23/3,Q23/4),Q23/4)," ")</f>
        <v> </v>
      </c>
      <c r="T23" s="15">
        <f>IF(D23&gt;0,1,0)</f>
        <v>1</v>
      </c>
      <c r="U23" s="15" t="str">
        <f>_xlfn.IFERROR(R23,0)</f>
        <v> </v>
      </c>
      <c r="W23" s="15" t="e">
        <f>100-(N23/G23*100)</f>
        <v>#VALUE!</v>
      </c>
      <c r="X23" s="29" t="e">
        <f>100-(P23/I23*100)</f>
        <v>#VALUE!</v>
      </c>
      <c r="Y23" s="15" t="e">
        <f>K23/D23*100</f>
        <v>#VALUE!</v>
      </c>
      <c r="Z23" s="15" t="e">
        <f>M23/F23*100</f>
        <v>#VALUE!</v>
      </c>
      <c r="AA23" s="25" t="e">
        <f>IF(W23&gt;24,AD23,AC23)</f>
        <v>#VALUE!</v>
      </c>
      <c r="AB23" s="25" t="e">
        <f>IF(X23&gt;24,AF23,AE23)</f>
        <v>#VALUE!</v>
      </c>
      <c r="AC23" s="15" t="e">
        <f>((1.76*G23-N23)/G23)*100</f>
        <v>#VALUE!</v>
      </c>
      <c r="AD23" s="15" t="e">
        <f>76-((((1.76*G23-N23)/G23)*100)-100)</f>
        <v>#VALUE!</v>
      </c>
      <c r="AE23" s="88" t="e">
        <f>((1.76*I23-P23)/I23)*100</f>
        <v>#VALUE!</v>
      </c>
      <c r="AF23" s="88" t="e">
        <f>76-((((1.76*I23-P23)/I23)*100)-100)</f>
        <v>#VALUE!</v>
      </c>
      <c r="AG23" s="88" t="e">
        <f>_xlfn.IFERROR(SUM(Y23:AB23),SUM(Y23:AA23))</f>
        <v>#VALUE!</v>
      </c>
      <c r="AH23" s="88"/>
      <c r="AK23" s="25" t="e">
        <f>100-(N23/G23*100)</f>
        <v>#VALUE!</v>
      </c>
      <c r="AL23" s="26" t="e">
        <f>100-(P23/I23*100)</f>
        <v>#VALUE!</v>
      </c>
      <c r="AM23" s="25" t="e">
        <f>IF(AND(AK23&gt;24,AL23&gt;24),(_xlfn.IFERROR(((K23/D23*100)+(M23/F23*100)+(76-((((1.76*G23-N23)/G23)*100)-100))+(76-((((1.76*I23-P23)/I23)*100)-100))),((K23/D23*100)+(M23/F23*100)+(76-((((1.76*G23-N23)/G23)*100)-100))))),(_xlfn.IFERROR(((K23/D23*100)+(M23/F23*100)+(((1.76*G23-N23)/G23)*100))+(((1.76*I23-P23)/I23)*100),((K23/D23*100)+(M23/F23*100)+(((1.76*G23-N23)/G23)*100)))))</f>
        <v>#VALUE!</v>
      </c>
      <c r="AN23" s="109" t="e">
        <f>IF(AK23&gt;24,(((K23/D23*100)+(M23/F23*100)+(76-((((1.76*G23-N23)/G23)*100)-100)))),(((K23/D23*100)+(M23/F23*100)+(((1.76*G23-N23)/G23)*100))))</f>
        <v>#VALUE!</v>
      </c>
      <c r="AO23" s="15" t="e">
        <f>_xlfn.IFERROR(AM23,AN23)</f>
        <v>#VALUE!</v>
      </c>
    </row>
    <row r="24" spans="1:40" s="15" customFormat="1" ht="15" customHeight="1">
      <c r="A24" s="92"/>
      <c r="B24" s="111" t="str">
        <f>SKP!C27</f>
        <v>Semester Gasal 2019/2020</v>
      </c>
      <c r="C24" s="107"/>
      <c r="D24" s="619"/>
      <c r="E24" s="139"/>
      <c r="F24" s="104"/>
      <c r="G24" s="341"/>
      <c r="H24" s="142"/>
      <c r="I24" s="105"/>
      <c r="J24" s="615"/>
      <c r="K24" s="619"/>
      <c r="L24" s="649"/>
      <c r="M24" s="703"/>
      <c r="N24" s="617"/>
      <c r="O24" s="621"/>
      <c r="P24" s="614"/>
      <c r="Q24" s="107"/>
      <c r="R24" s="107"/>
      <c r="X24" s="29"/>
      <c r="AA24" s="25"/>
      <c r="AB24" s="25"/>
      <c r="AE24" s="88"/>
      <c r="AF24" s="88"/>
      <c r="AG24" s="88"/>
      <c r="AH24" s="88"/>
      <c r="AK24" s="25"/>
      <c r="AL24" s="26"/>
      <c r="AM24" s="25"/>
      <c r="AN24" s="109"/>
    </row>
    <row r="25" spans="1:41" s="15" customFormat="1" ht="12" customHeight="1">
      <c r="A25" s="92" t="str">
        <f>SKP!B28</f>
        <v>10.2</v>
      </c>
      <c r="B25" s="87" t="str">
        <f>IF(SKP!C28=" ","-",SKP!C28)</f>
        <v>-</v>
      </c>
      <c r="C25" s="347" t="str">
        <f>IF(SKP!F28=0," ",SKP!F28)</f>
        <v>-</v>
      </c>
      <c r="D25" s="620" t="str">
        <f>IF(SKP!G28=0," ",SKP!G28)</f>
        <v>-</v>
      </c>
      <c r="E25" s="141" t="str">
        <f>IF(SKP!H28=0," ",SKP!H28)</f>
        <v> </v>
      </c>
      <c r="F25" s="95" t="str">
        <f>IF(SKP!I28=0," ",SKP!I28)</f>
        <v> </v>
      </c>
      <c r="G25" s="610" t="str">
        <f>IF(SKP!J28=0," ",SKP!J28)</f>
        <v>-</v>
      </c>
      <c r="H25" s="611">
        <f>IF(SKP!K28=0," ",SKP!K28)</f>
      </c>
      <c r="I25" s="103" t="str">
        <f>SKP!L28</f>
        <v>-</v>
      </c>
      <c r="J25" s="615" t="str">
        <f t="shared" si="25"/>
        <v>-</v>
      </c>
      <c r="K25" s="619" t="str">
        <f t="shared" si="0"/>
        <v>-</v>
      </c>
      <c r="L25" s="649" t="str">
        <f t="shared" si="1"/>
        <v> </v>
      </c>
      <c r="M25" s="703"/>
      <c r="N25" s="617" t="str">
        <f t="shared" si="2"/>
        <v>-</v>
      </c>
      <c r="O25" s="621">
        <f t="shared" si="3"/>
      </c>
      <c r="P25" s="614" t="str">
        <f t="shared" si="4"/>
        <v>-</v>
      </c>
      <c r="Q25" s="107" t="str">
        <f>_xlfn.IFERROR(AG25," ")</f>
        <v> </v>
      </c>
      <c r="R25" s="107" t="str">
        <f>_xlfn.IFERROR(IF(I25="-",IF(P25="-",Q25/3,Q25/4),Q25/4)," ")</f>
        <v> </v>
      </c>
      <c r="T25" s="15">
        <f>IF(D25&gt;0,1,0)</f>
        <v>1</v>
      </c>
      <c r="U25" s="15" t="str">
        <f>_xlfn.IFERROR(R25,0)</f>
        <v> </v>
      </c>
      <c r="W25" s="15" t="e">
        <f>100-(N25/G25*100)</f>
        <v>#VALUE!</v>
      </c>
      <c r="X25" s="29" t="e">
        <f>100-(P25/I25*100)</f>
        <v>#VALUE!</v>
      </c>
      <c r="Y25" s="15" t="e">
        <f>K25/D25*100</f>
        <v>#VALUE!</v>
      </c>
      <c r="Z25" s="15" t="e">
        <f>M25/F25*100</f>
        <v>#VALUE!</v>
      </c>
      <c r="AA25" s="25" t="e">
        <f>IF(W25&gt;24,AD25,AC25)</f>
        <v>#VALUE!</v>
      </c>
      <c r="AB25" s="25" t="e">
        <f>IF(X25&gt;24,AF25,AE25)</f>
        <v>#VALUE!</v>
      </c>
      <c r="AC25" s="15" t="e">
        <f>((1.76*G25-N25)/G25)*100</f>
        <v>#VALUE!</v>
      </c>
      <c r="AD25" s="15" t="e">
        <f>76-((((1.76*G25-N25)/G25)*100)-100)</f>
        <v>#VALUE!</v>
      </c>
      <c r="AE25" s="88" t="e">
        <f>((1.76*I25-P25)/I25)*100</f>
        <v>#VALUE!</v>
      </c>
      <c r="AF25" s="88" t="e">
        <f>76-((((1.76*I25-P25)/I25)*100)-100)</f>
        <v>#VALUE!</v>
      </c>
      <c r="AG25" s="88" t="e">
        <f>_xlfn.IFERROR(SUM(Y25:AB25),SUM(Y25:AA25))</f>
        <v>#VALUE!</v>
      </c>
      <c r="AH25" s="88"/>
      <c r="AK25" s="25" t="e">
        <f>100-(N25/G25*100)</f>
        <v>#VALUE!</v>
      </c>
      <c r="AL25" s="26" t="e">
        <f>100-(P25/I25*100)</f>
        <v>#VALUE!</v>
      </c>
      <c r="AM25" s="25" t="e">
        <f>IF(AND(AK25&gt;24,AL25&gt;24),(_xlfn.IFERROR(((K25/D25*100)+(M25/F25*100)+(76-((((1.76*G25-N25)/G25)*100)-100))+(76-((((1.76*I25-P25)/I25)*100)-100))),((K25/D25*100)+(M25/F25*100)+(76-((((1.76*G25-N25)/G25)*100)-100))))),(_xlfn.IFERROR(((K25/D25*100)+(M25/F25*100)+(((1.76*G25-N25)/G25)*100))+(((1.76*I25-P25)/I25)*100),((K25/D25*100)+(M25/F25*100)+(((1.76*G25-N25)/G25)*100)))))</f>
        <v>#VALUE!</v>
      </c>
      <c r="AN25" s="109" t="e">
        <f>IF(AK25&gt;24,(((K25/D25*100)+(M25/F25*100)+(76-((((1.76*G25-N25)/G25)*100)-100)))),(((K25/D25*100)+(M25/F25*100)+(((1.76*G25-N25)/G25)*100))))</f>
        <v>#VALUE!</v>
      </c>
      <c r="AO25" s="15" t="e">
        <f>_xlfn.IFERROR(AM25,AN25)</f>
        <v>#VALUE!</v>
      </c>
    </row>
    <row r="26" spans="1:41" s="15" customFormat="1" ht="12" customHeight="1">
      <c r="A26" s="97"/>
      <c r="B26" s="609" t="s">
        <v>90</v>
      </c>
      <c r="C26" s="615" t="str">
        <f>SKP!F29</f>
        <v>-</v>
      </c>
      <c r="D26" s="619" t="str">
        <f>SKP!G29</f>
        <v>-</v>
      </c>
      <c r="E26" s="621">
        <f>SKP!H29</f>
      </c>
      <c r="F26" s="107" t="str">
        <f>SKP!I29</f>
        <v>-</v>
      </c>
      <c r="G26" s="616" t="str">
        <f>SKP!J29</f>
        <v>-</v>
      </c>
      <c r="H26" s="613">
        <f>SKP!K29</f>
      </c>
      <c r="I26" s="107" t="str">
        <f>SKP!L29</f>
        <v>-</v>
      </c>
      <c r="J26" s="615" t="str">
        <f t="shared" si="25"/>
        <v>-</v>
      </c>
      <c r="K26" s="645" t="str">
        <f t="shared" si="0"/>
        <v>-</v>
      </c>
      <c r="L26" s="646">
        <f t="shared" si="1"/>
      </c>
      <c r="M26" s="705"/>
      <c r="N26" s="647" t="str">
        <f t="shared" si="2"/>
        <v>-</v>
      </c>
      <c r="O26" s="648">
        <f t="shared" si="3"/>
      </c>
      <c r="P26" s="614" t="str">
        <f t="shared" si="4"/>
        <v>-</v>
      </c>
      <c r="Q26" s="107" t="str">
        <f>_xlfn.IFERROR(AG26," ")</f>
        <v> </v>
      </c>
      <c r="R26" s="107" t="str">
        <f>_xlfn.IFERROR(IF(I26="-",IF(P26="-",Q26/3,Q26/4),Q26/4)," ")</f>
        <v> </v>
      </c>
      <c r="T26" s="15">
        <f>IF(D26&gt;0,1,0)</f>
        <v>1</v>
      </c>
      <c r="U26" s="15" t="str">
        <f>_xlfn.IFERROR(R26,0)</f>
        <v> </v>
      </c>
      <c r="W26" s="15" t="e">
        <f>100-(N26/G26*100)</f>
        <v>#VALUE!</v>
      </c>
      <c r="X26" s="29" t="e">
        <f>100-(P26/I26*100)</f>
        <v>#VALUE!</v>
      </c>
      <c r="Y26" s="15" t="e">
        <f>K26/D26*100</f>
        <v>#VALUE!</v>
      </c>
      <c r="Z26" s="15" t="e">
        <f>M26/F26*100</f>
        <v>#VALUE!</v>
      </c>
      <c r="AA26" s="25" t="e">
        <f>IF(W26&gt;24,AD26,AC26)</f>
        <v>#VALUE!</v>
      </c>
      <c r="AB26" s="25" t="e">
        <f>IF(X26&gt;24,AF26,AE26)</f>
        <v>#VALUE!</v>
      </c>
      <c r="AC26" s="15" t="e">
        <f>((1.76*G26-N26)/G26)*100</f>
        <v>#VALUE!</v>
      </c>
      <c r="AD26" s="15" t="e">
        <f>76-((((1.76*G26-N26)/G26)*100)-100)</f>
        <v>#VALUE!</v>
      </c>
      <c r="AE26" s="88" t="e">
        <f>((1.76*I26-P26)/I26)*100</f>
        <v>#VALUE!</v>
      </c>
      <c r="AF26" s="88" t="e">
        <f>76-((((1.76*I26-P26)/I26)*100)-100)</f>
        <v>#VALUE!</v>
      </c>
      <c r="AG26" s="88" t="e">
        <f>_xlfn.IFERROR(SUM(Y26:AB26),SUM(Y26:AA26))</f>
        <v>#VALUE!</v>
      </c>
      <c r="AH26" s="88"/>
      <c r="AK26" s="25" t="e">
        <f>100-(N26/G26*100)</f>
        <v>#VALUE!</v>
      </c>
      <c r="AL26" s="26" t="e">
        <f>100-(P26/I26*100)</f>
        <v>#VALUE!</v>
      </c>
      <c r="AM26" s="25" t="e">
        <f>IF(AND(AK26&gt;24,AL26&gt;24),(_xlfn.IFERROR(((K26/D26*100)+(M26/F26*100)+(76-((((1.76*G26-N26)/G26)*100)-100))+(76-((((1.76*I26-P26)/I26)*100)-100))),((K26/D26*100)+(M26/F26*100)+(76-((((1.76*G26-N26)/G26)*100)-100))))),(_xlfn.IFERROR(((K26/D26*100)+(M26/F26*100)+(((1.76*G26-N26)/G26)*100))+(((1.76*I26-P26)/I26)*100),((K26/D26*100)+(M26/F26*100)+(((1.76*G26-N26)/G26)*100)))))</f>
        <v>#VALUE!</v>
      </c>
      <c r="AN26" s="109" t="e">
        <f>IF(AK26&gt;24,(((K26/D26*100)+(M26/F26*100)+(76-((((1.76*G26-N26)/G26)*100)-100)))),(((K26/D26*100)+(M26/F26*100)+(((1.76*G26-N26)/G26)*100))))</f>
        <v>#VALUE!</v>
      </c>
      <c r="AO26" s="15" t="e">
        <f>_xlfn.IFERROR(AM26,AN26)</f>
        <v>#VALUE!</v>
      </c>
    </row>
    <row r="27" spans="1:18" s="88" customFormat="1" ht="26.25" customHeight="1" thickBot="1">
      <c r="A27" s="653"/>
      <c r="B27" s="654" t="s">
        <v>236</v>
      </c>
      <c r="C27" s="655"/>
      <c r="D27" s="846"/>
      <c r="E27" s="847"/>
      <c r="F27" s="847"/>
      <c r="G27" s="847"/>
      <c r="H27" s="847"/>
      <c r="I27" s="848"/>
      <c r="J27" s="656"/>
      <c r="K27" s="881"/>
      <c r="L27" s="882"/>
      <c r="M27" s="882"/>
      <c r="N27" s="882"/>
      <c r="O27" s="882"/>
      <c r="P27" s="883"/>
      <c r="Q27" s="657"/>
      <c r="R27" s="658"/>
    </row>
    <row r="28" spans="1:18" s="88" customFormat="1" ht="13.5" customHeight="1" thickBot="1">
      <c r="A28" s="659" t="s">
        <v>247</v>
      </c>
      <c r="B28" s="660"/>
      <c r="C28" s="661"/>
      <c r="D28" s="663"/>
      <c r="E28" s="664"/>
      <c r="F28" s="664"/>
      <c r="G28" s="664"/>
      <c r="H28" s="664"/>
      <c r="I28" s="665"/>
      <c r="J28" s="666"/>
      <c r="K28" s="667"/>
      <c r="L28" s="668"/>
      <c r="M28" s="668"/>
      <c r="N28" s="668"/>
      <c r="O28" s="668"/>
      <c r="P28" s="669"/>
      <c r="Q28" s="667"/>
      <c r="R28" s="878"/>
    </row>
    <row r="29" spans="1:18" s="88" customFormat="1" ht="13.5" customHeight="1" thickBot="1" thickTop="1">
      <c r="A29" s="662">
        <v>2</v>
      </c>
      <c r="B29" s="660"/>
      <c r="C29" s="612"/>
      <c r="D29" s="670"/>
      <c r="E29" s="671"/>
      <c r="F29" s="671"/>
      <c r="G29" s="671"/>
      <c r="H29" s="671"/>
      <c r="I29" s="672"/>
      <c r="J29" s="673"/>
      <c r="K29" s="674"/>
      <c r="L29" s="675"/>
      <c r="M29" s="675"/>
      <c r="N29" s="675"/>
      <c r="O29" s="675"/>
      <c r="P29" s="676"/>
      <c r="Q29" s="674"/>
      <c r="R29" s="879"/>
    </row>
    <row r="30" spans="1:18" s="88" customFormat="1" ht="13.5" customHeight="1" thickBot="1" thickTop="1">
      <c r="A30" s="662">
        <v>3</v>
      </c>
      <c r="B30" s="660"/>
      <c r="C30" s="684"/>
      <c r="D30" s="677"/>
      <c r="E30" s="678"/>
      <c r="F30" s="678"/>
      <c r="G30" s="678"/>
      <c r="H30" s="678"/>
      <c r="I30" s="679"/>
      <c r="J30" s="680"/>
      <c r="K30" s="681"/>
      <c r="L30" s="682"/>
      <c r="M30" s="682"/>
      <c r="N30" s="682"/>
      <c r="O30" s="682"/>
      <c r="P30" s="683"/>
      <c r="Q30" s="674"/>
      <c r="R30" s="879"/>
    </row>
    <row r="31" spans="1:18" s="88" customFormat="1" ht="13.5" customHeight="1" thickBot="1" thickTop="1">
      <c r="A31" s="662">
        <v>4</v>
      </c>
      <c r="B31" s="660"/>
      <c r="C31" s="661"/>
      <c r="D31" s="869"/>
      <c r="E31" s="869"/>
      <c r="F31" s="869"/>
      <c r="G31" s="869"/>
      <c r="H31" s="869"/>
      <c r="I31" s="869"/>
      <c r="J31" s="685"/>
      <c r="K31" s="869"/>
      <c r="L31" s="869"/>
      <c r="M31" s="869"/>
      <c r="N31" s="869"/>
      <c r="O31" s="869"/>
      <c r="P31" s="869"/>
      <c r="Q31" s="674"/>
      <c r="R31" s="879"/>
    </row>
    <row r="32" spans="1:38" s="88" customFormat="1" ht="13.5" customHeight="1" thickBot="1" thickTop="1">
      <c r="A32" s="662">
        <v>5</v>
      </c>
      <c r="B32" s="660"/>
      <c r="C32" s="684"/>
      <c r="D32" s="869"/>
      <c r="E32" s="869"/>
      <c r="F32" s="869"/>
      <c r="G32" s="869"/>
      <c r="H32" s="869"/>
      <c r="I32" s="869"/>
      <c r="J32" s="685"/>
      <c r="K32" s="864"/>
      <c r="L32" s="864"/>
      <c r="M32" s="864"/>
      <c r="N32" s="864"/>
      <c r="O32" s="864"/>
      <c r="P32" s="864"/>
      <c r="Q32" s="696"/>
      <c r="R32" s="879"/>
      <c r="Z32" s="89" t="s">
        <v>34</v>
      </c>
      <c r="AJ32" s="89" t="s">
        <v>30</v>
      </c>
      <c r="AL32" s="109"/>
    </row>
    <row r="33" spans="1:38" s="88" customFormat="1" ht="13.5" customHeight="1" thickBot="1" thickTop="1">
      <c r="A33" s="662">
        <v>6</v>
      </c>
      <c r="B33" s="660"/>
      <c r="C33" s="686"/>
      <c r="D33" s="870"/>
      <c r="E33" s="870"/>
      <c r="F33" s="870"/>
      <c r="G33" s="870"/>
      <c r="H33" s="870"/>
      <c r="I33" s="870"/>
      <c r="J33" s="687"/>
      <c r="K33" s="868"/>
      <c r="L33" s="868"/>
      <c r="M33" s="868"/>
      <c r="N33" s="868"/>
      <c r="O33" s="868"/>
      <c r="P33" s="868"/>
      <c r="Q33" s="674"/>
      <c r="R33" s="879"/>
      <c r="Z33" s="88" t="s">
        <v>35</v>
      </c>
      <c r="AJ33" s="88" t="s">
        <v>31</v>
      </c>
      <c r="AL33" s="109"/>
    </row>
    <row r="34" spans="1:38" s="88" customFormat="1" ht="13.5" customHeight="1" thickBot="1" thickTop="1">
      <c r="A34" s="652" t="s">
        <v>253</v>
      </c>
      <c r="B34" s="651"/>
      <c r="C34" s="684"/>
      <c r="D34" s="869"/>
      <c r="E34" s="869"/>
      <c r="F34" s="869"/>
      <c r="G34" s="869"/>
      <c r="H34" s="869"/>
      <c r="I34" s="869"/>
      <c r="J34" s="685"/>
      <c r="K34" s="868"/>
      <c r="L34" s="868"/>
      <c r="M34" s="868"/>
      <c r="N34" s="868"/>
      <c r="O34" s="868"/>
      <c r="P34" s="868"/>
      <c r="Q34" s="674"/>
      <c r="R34" s="880"/>
      <c r="S34" s="695"/>
      <c r="AL34" s="109"/>
    </row>
    <row r="35" spans="1:19" ht="15.75" customHeight="1" thickBot="1" thickTop="1">
      <c r="A35" s="20"/>
      <c r="B35" s="21"/>
      <c r="C35" s="345"/>
      <c r="D35" s="22"/>
      <c r="E35" s="22"/>
      <c r="F35" s="22"/>
      <c r="G35" s="22"/>
      <c r="H35" s="22"/>
      <c r="I35" s="22"/>
      <c r="J35" s="348"/>
      <c r="K35" s="23"/>
      <c r="L35" s="23"/>
      <c r="M35" s="122"/>
      <c r="N35" s="23"/>
      <c r="O35" s="23"/>
      <c r="P35" s="23"/>
      <c r="Q35" s="24"/>
      <c r="R35" s="694"/>
      <c r="S35" s="694"/>
    </row>
    <row r="36" spans="1:20" ht="13.5" customHeight="1" thickTop="1">
      <c r="A36" s="872" t="s">
        <v>17</v>
      </c>
      <c r="B36" s="873"/>
      <c r="C36" s="873"/>
      <c r="D36" s="873"/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873"/>
      <c r="P36" s="873"/>
      <c r="Q36" s="874"/>
      <c r="R36" s="349" t="e">
        <f>AVERAGE(R10:R26)+R28+R31+R34</f>
        <v>#DIV/0!</v>
      </c>
      <c r="T36">
        <f>SUM(T10:T32)</f>
        <v>12</v>
      </c>
    </row>
    <row r="37" spans="1:18" ht="13.5" customHeight="1" thickBot="1">
      <c r="A37" s="875"/>
      <c r="B37" s="876"/>
      <c r="C37" s="876"/>
      <c r="D37" s="876"/>
      <c r="E37" s="876"/>
      <c r="F37" s="876"/>
      <c r="G37" s="876"/>
      <c r="H37" s="876"/>
      <c r="I37" s="876"/>
      <c r="J37" s="876"/>
      <c r="K37" s="876"/>
      <c r="L37" s="876"/>
      <c r="M37" s="876"/>
      <c r="N37" s="876"/>
      <c r="O37" s="876"/>
      <c r="P37" s="876"/>
      <c r="Q37" s="877"/>
      <c r="R37" s="18" t="e">
        <f>IF(R36&lt;=50,"(Buruk)",IF(R36&lt;=60,"(Kurang)",IF(R36&lt;=75,"(Cukup)",IF(R36&lt;=90.99,"(Baik)","(Sangat Baik)"))))</f>
        <v>#DIV/0!</v>
      </c>
    </row>
    <row r="38" ht="7.5" customHeight="1" thickTop="1"/>
    <row r="39" spans="13:20" ht="12.75">
      <c r="M39" s="124"/>
      <c r="N39" s="38"/>
      <c r="O39" s="802" t="str">
        <f>CONCATENATE("Surabaya, ",'IDENTITAS dan TANGGAL PENETAPAN'!C7)</f>
        <v>Surabaya, 31 Desember 2019</v>
      </c>
      <c r="P39" s="802"/>
      <c r="Q39" s="802"/>
      <c r="R39" s="38"/>
      <c r="S39" s="38"/>
      <c r="T39" s="38"/>
    </row>
    <row r="40" spans="2:18" ht="13.5" customHeight="1">
      <c r="B40" s="802"/>
      <c r="C40" s="802"/>
      <c r="D40" s="802"/>
      <c r="E40" s="802"/>
      <c r="F40" s="802"/>
      <c r="G40" s="802"/>
      <c r="M40" s="871" t="s">
        <v>23</v>
      </c>
      <c r="N40" s="871"/>
      <c r="O40" s="871"/>
      <c r="P40" s="871"/>
      <c r="Q40" s="871"/>
      <c r="R40" s="871"/>
    </row>
    <row r="41" ht="33.75" customHeight="1">
      <c r="A41" s="126"/>
    </row>
    <row r="42" spans="7:20" ht="9" customHeight="1">
      <c r="G42" s="802"/>
      <c r="H42" s="802"/>
      <c r="I42" s="802"/>
      <c r="J42" s="802"/>
      <c r="K42" s="802"/>
      <c r="L42" s="802"/>
      <c r="O42" s="802"/>
      <c r="P42" s="802"/>
      <c r="Q42" s="802"/>
      <c r="R42" s="802"/>
      <c r="S42" s="802"/>
      <c r="T42" s="802"/>
    </row>
    <row r="43" spans="13:18" ht="12.75">
      <c r="M43" s="843" t="str">
        <f>SKP!B38</f>
        <v>Dr. Fransisca Dwi Harjanti, M.Pd</v>
      </c>
      <c r="N43" s="843"/>
      <c r="O43" s="843"/>
      <c r="P43" s="843"/>
      <c r="Q43" s="843"/>
      <c r="R43" s="843"/>
    </row>
    <row r="44" spans="13:18" ht="12.75">
      <c r="M44" s="802" t="str">
        <f>SKP!B39</f>
        <v>NIK94239 - ET.</v>
      </c>
      <c r="N44" s="802"/>
      <c r="O44" s="802"/>
      <c r="P44" s="802"/>
      <c r="Q44" s="802"/>
      <c r="R44" s="802"/>
    </row>
    <row r="45" ht="12.75"/>
    <row r="46" spans="2:7" ht="18">
      <c r="B46" s="690"/>
      <c r="C46" s="691"/>
      <c r="D46" s="690"/>
      <c r="E46" s="690"/>
      <c r="F46" s="690"/>
      <c r="G46" s="688"/>
    </row>
    <row r="47" spans="2:7" ht="18">
      <c r="B47" s="692"/>
      <c r="C47" s="693"/>
      <c r="D47" s="692"/>
      <c r="E47" s="692"/>
      <c r="F47" s="690"/>
      <c r="G47" s="688"/>
    </row>
    <row r="48" spans="2:7" ht="18">
      <c r="B48" s="692"/>
      <c r="C48" s="693"/>
      <c r="D48" s="692"/>
      <c r="E48" s="692"/>
      <c r="F48" s="690"/>
      <c r="G48" s="688"/>
    </row>
    <row r="49" spans="2:17" ht="18">
      <c r="B49" s="692"/>
      <c r="C49" s="693"/>
      <c r="D49" s="692"/>
      <c r="E49" s="692"/>
      <c r="F49" s="690"/>
      <c r="G49" s="688"/>
      <c r="L49" s="802"/>
      <c r="M49" s="802"/>
      <c r="N49" s="802"/>
      <c r="O49" s="802"/>
      <c r="P49" s="802"/>
      <c r="Q49" s="802"/>
    </row>
    <row r="50" spans="12:17" ht="12.75">
      <c r="L50" s="802"/>
      <c r="M50" s="802"/>
      <c r="N50" s="802"/>
      <c r="O50" s="802"/>
      <c r="P50" s="802"/>
      <c r="Q50" s="802"/>
    </row>
    <row r="51" ht="12.75">
      <c r="B51" s="689"/>
    </row>
    <row r="52" spans="6:11" ht="12.75">
      <c r="F52" s="802"/>
      <c r="G52" s="802"/>
      <c r="H52" s="802"/>
      <c r="I52" s="802"/>
      <c r="J52" s="802"/>
      <c r="K52" s="802"/>
    </row>
  </sheetData>
  <sheetProtection/>
  <mergeCells count="42">
    <mergeCell ref="D31:I31"/>
    <mergeCell ref="K31:P31"/>
    <mergeCell ref="K6:P6"/>
    <mergeCell ref="M44:R44"/>
    <mergeCell ref="K27:P27"/>
    <mergeCell ref="G7:H7"/>
    <mergeCell ref="K7:L7"/>
    <mergeCell ref="G8:H8"/>
    <mergeCell ref="B40:G40"/>
    <mergeCell ref="D8:E8"/>
    <mergeCell ref="G42:L42"/>
    <mergeCell ref="N8:O8"/>
    <mergeCell ref="L49:Q49"/>
    <mergeCell ref="F52:K52"/>
    <mergeCell ref="L50:Q50"/>
    <mergeCell ref="D32:I32"/>
    <mergeCell ref="D33:I33"/>
    <mergeCell ref="M40:R40"/>
    <mergeCell ref="A36:Q37"/>
    <mergeCell ref="R28:R34"/>
    <mergeCell ref="K32:P32"/>
    <mergeCell ref="M43:R43"/>
    <mergeCell ref="K8:L8"/>
    <mergeCell ref="O42:T42"/>
    <mergeCell ref="O39:Q39"/>
    <mergeCell ref="D6:I6"/>
    <mergeCell ref="N7:O7"/>
    <mergeCell ref="K33:P33"/>
    <mergeCell ref="D34:I34"/>
    <mergeCell ref="K34:P34"/>
    <mergeCell ref="R6:R7"/>
    <mergeCell ref="BH14:BH18"/>
    <mergeCell ref="A1:R1"/>
    <mergeCell ref="A2:R2"/>
    <mergeCell ref="A3:Q3"/>
    <mergeCell ref="Q6:Q7"/>
    <mergeCell ref="D27:I27"/>
    <mergeCell ref="A6:A7"/>
    <mergeCell ref="B6:B7"/>
    <mergeCell ref="C6:C7"/>
    <mergeCell ref="J6:J7"/>
    <mergeCell ref="D7:E7"/>
  </mergeCells>
  <printOptions/>
  <pageMargins left="1.3385826771653544" right="0.7480314960629921" top="0.3937007874015748" bottom="0.2755905511811024" header="0.5118110236220472" footer="0.5118110236220472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AC54"/>
  <sheetViews>
    <sheetView view="pageBreakPreview" zoomScale="70" zoomScaleNormal="90" zoomScaleSheetLayoutView="70" zoomScalePageLayoutView="0" workbookViewId="0" topLeftCell="A1">
      <selection activeCell="G47" sqref="G47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4.57421875" style="0" customWidth="1"/>
    <col min="11" max="11" width="4.7109375" style="0" customWidth="1"/>
    <col min="15" max="15" width="13.8515625" style="0" customWidth="1"/>
    <col min="16" max="16" width="11.421875" style="0" customWidth="1"/>
    <col min="20" max="20" width="11.7109375" style="0" customWidth="1"/>
    <col min="21" max="21" width="2.140625" style="0" customWidth="1"/>
  </cols>
  <sheetData>
    <row r="1" ht="13.5" thickBot="1"/>
    <row r="2" spans="2:20" ht="30" customHeight="1" thickBot="1">
      <c r="B2" s="894" t="s">
        <v>53</v>
      </c>
      <c r="C2" s="897" t="s">
        <v>40</v>
      </c>
      <c r="D2" s="898"/>
      <c r="E2" s="898"/>
      <c r="F2" s="898"/>
      <c r="G2" s="898"/>
      <c r="H2" s="899"/>
      <c r="I2" s="46" t="s">
        <v>41</v>
      </c>
      <c r="K2" s="923" t="s">
        <v>54</v>
      </c>
      <c r="L2" s="924"/>
      <c r="M2" s="924"/>
      <c r="N2" s="924"/>
      <c r="O2" s="924"/>
      <c r="P2" s="924"/>
      <c r="Q2" s="924"/>
      <c r="R2" s="924"/>
      <c r="S2" s="924"/>
      <c r="T2" s="925"/>
    </row>
    <row r="3" spans="2:20" ht="30" customHeight="1" thickBot="1">
      <c r="B3" s="895"/>
      <c r="C3" s="918" t="s">
        <v>52</v>
      </c>
      <c r="D3" s="919"/>
      <c r="E3" s="43"/>
      <c r="F3" s="708" t="e">
        <f>PENGUKURAN!R36</f>
        <v>#DIV/0!</v>
      </c>
      <c r="G3" s="49" t="s">
        <v>59</v>
      </c>
      <c r="H3" s="44">
        <v>0.6</v>
      </c>
      <c r="I3" s="45" t="e">
        <f>F3*H3</f>
        <v>#DIV/0!</v>
      </c>
      <c r="K3" s="926" t="s">
        <v>56</v>
      </c>
      <c r="L3" s="927"/>
      <c r="M3" s="927"/>
      <c r="N3" s="927"/>
      <c r="O3" s="927"/>
      <c r="P3" s="927"/>
      <c r="Q3" s="927"/>
      <c r="R3" s="927"/>
      <c r="S3" s="927"/>
      <c r="T3" s="928"/>
    </row>
    <row r="4" spans="2:20" ht="30" customHeight="1" thickBot="1">
      <c r="B4" s="895"/>
      <c r="C4" s="900" t="s">
        <v>58</v>
      </c>
      <c r="D4" s="884" t="s">
        <v>42</v>
      </c>
      <c r="E4" s="920"/>
      <c r="F4" s="710"/>
      <c r="G4" s="906" t="str">
        <f aca="true" t="shared" si="0" ref="G4:G9">IF(F4=0," ",IF(F4&lt;=50,"(Buruk)",IF(F4&lt;=60,"(Sedang)",IF(F4&lt;=75,"(Cukup)",IF(F4&lt;=90.99,"(Baik)","(Sangat Baik)")))))</f>
        <v> </v>
      </c>
      <c r="H4" s="907"/>
      <c r="I4" s="47"/>
      <c r="K4" s="36"/>
      <c r="L4" s="32"/>
      <c r="M4" s="32"/>
      <c r="N4" s="32"/>
      <c r="O4" s="32"/>
      <c r="P4" s="32"/>
      <c r="Q4" s="32"/>
      <c r="R4" s="32"/>
      <c r="S4" s="32"/>
      <c r="T4" s="33"/>
    </row>
    <row r="5" spans="2:20" ht="30" customHeight="1" thickBot="1">
      <c r="B5" s="895"/>
      <c r="C5" s="901"/>
      <c r="D5" s="884" t="s">
        <v>43</v>
      </c>
      <c r="E5" s="885"/>
      <c r="F5" s="709"/>
      <c r="G5" s="906" t="str">
        <f t="shared" si="0"/>
        <v> </v>
      </c>
      <c r="H5" s="907"/>
      <c r="I5" s="47"/>
      <c r="K5" s="36"/>
      <c r="L5" s="32"/>
      <c r="M5" s="32"/>
      <c r="N5" s="32"/>
      <c r="O5" s="32"/>
      <c r="P5" s="32"/>
      <c r="Q5" s="32"/>
      <c r="R5" s="32"/>
      <c r="S5" s="32"/>
      <c r="T5" s="33"/>
    </row>
    <row r="6" spans="2:20" ht="30" customHeight="1" thickBot="1">
      <c r="B6" s="895"/>
      <c r="C6" s="901"/>
      <c r="D6" s="884" t="s">
        <v>44</v>
      </c>
      <c r="E6" s="885"/>
      <c r="F6" s="650"/>
      <c r="G6" s="906" t="str">
        <f t="shared" si="0"/>
        <v> </v>
      </c>
      <c r="H6" s="907"/>
      <c r="I6" s="47"/>
      <c r="K6" s="36"/>
      <c r="L6" s="32"/>
      <c r="M6" s="32"/>
      <c r="N6" s="32"/>
      <c r="O6" s="32"/>
      <c r="P6" s="32"/>
      <c r="Q6" s="32"/>
      <c r="R6" s="32"/>
      <c r="S6" s="32"/>
      <c r="T6" s="33"/>
    </row>
    <row r="7" spans="2:20" ht="30" customHeight="1" thickBot="1">
      <c r="B7" s="895"/>
      <c r="C7" s="901"/>
      <c r="D7" s="884" t="s">
        <v>45</v>
      </c>
      <c r="E7" s="885"/>
      <c r="F7" s="650"/>
      <c r="G7" s="906" t="str">
        <f t="shared" si="0"/>
        <v> </v>
      </c>
      <c r="H7" s="907"/>
      <c r="I7" s="47"/>
      <c r="K7" s="36"/>
      <c r="L7" s="32"/>
      <c r="M7" s="32"/>
      <c r="N7" s="32"/>
      <c r="O7" s="32"/>
      <c r="P7" s="32"/>
      <c r="Q7" s="32"/>
      <c r="R7" s="32"/>
      <c r="S7" s="32"/>
      <c r="T7" s="33"/>
    </row>
    <row r="8" spans="2:20" ht="30" customHeight="1" thickBot="1">
      <c r="B8" s="895"/>
      <c r="C8" s="901"/>
      <c r="D8" s="884" t="s">
        <v>46</v>
      </c>
      <c r="E8" s="885"/>
      <c r="F8" s="650"/>
      <c r="G8" s="906" t="str">
        <f t="shared" si="0"/>
        <v> </v>
      </c>
      <c r="H8" s="907"/>
      <c r="I8" s="47"/>
      <c r="K8" s="36"/>
      <c r="L8" s="32"/>
      <c r="M8" s="32"/>
      <c r="N8" s="32"/>
      <c r="O8" s="32"/>
      <c r="P8" s="32"/>
      <c r="Q8" s="32"/>
      <c r="R8" s="32"/>
      <c r="S8" s="32"/>
      <c r="T8" s="33"/>
    </row>
    <row r="9" spans="2:20" ht="30" customHeight="1" thickBot="1">
      <c r="B9" s="895"/>
      <c r="C9" s="901"/>
      <c r="D9" s="884" t="s">
        <v>47</v>
      </c>
      <c r="E9" s="885"/>
      <c r="F9" s="650"/>
      <c r="G9" s="906" t="str">
        <f t="shared" si="0"/>
        <v> </v>
      </c>
      <c r="H9" s="907"/>
      <c r="I9" s="47"/>
      <c r="K9" s="36"/>
      <c r="L9" s="32"/>
      <c r="M9" s="32"/>
      <c r="N9" s="32"/>
      <c r="O9" s="32"/>
      <c r="P9" s="32"/>
      <c r="Q9" s="32"/>
      <c r="R9" s="32"/>
      <c r="S9" s="32"/>
      <c r="T9" s="33"/>
    </row>
    <row r="10" spans="2:20" ht="30" customHeight="1" thickBot="1">
      <c r="B10" s="895"/>
      <c r="C10" s="901"/>
      <c r="D10" s="884" t="s">
        <v>48</v>
      </c>
      <c r="E10" s="885"/>
      <c r="F10" s="650">
        <f>SUM(F4:F9)</f>
        <v>0</v>
      </c>
      <c r="G10" s="911"/>
      <c r="H10" s="912"/>
      <c r="I10" s="47"/>
      <c r="K10" s="932" t="s">
        <v>51</v>
      </c>
      <c r="L10" s="933"/>
      <c r="M10" s="933"/>
      <c r="N10" s="933"/>
      <c r="O10" s="933"/>
      <c r="P10" s="933"/>
      <c r="Q10" s="933"/>
      <c r="R10" s="933"/>
      <c r="S10" s="933"/>
      <c r="T10" s="934"/>
    </row>
    <row r="11" spans="2:20" ht="30" customHeight="1" thickBot="1">
      <c r="B11" s="895"/>
      <c r="C11" s="901"/>
      <c r="D11" s="884" t="s">
        <v>49</v>
      </c>
      <c r="E11" s="885"/>
      <c r="F11" s="50">
        <f>IF(F9="",IF(F9="",F10/5,F10/6),F10/6)</f>
        <v>0</v>
      </c>
      <c r="G11" s="913" t="str">
        <f>IF(F11&lt;=50,"(Buruk)",IF(F11&lt;=60,"(Sedang)",IF(F11&lt;=75,"(Cukup)",IF(F11&lt;=90.99,"(Baik)","(Sangat Baik)"))))</f>
        <v>(Buruk)</v>
      </c>
      <c r="H11" s="914"/>
      <c r="I11" s="47"/>
      <c r="K11" s="923" t="s">
        <v>55</v>
      </c>
      <c r="L11" s="924"/>
      <c r="M11" s="924"/>
      <c r="N11" s="924"/>
      <c r="O11" s="924"/>
      <c r="P11" s="924"/>
      <c r="Q11" s="924"/>
      <c r="R11" s="924"/>
      <c r="S11" s="924"/>
      <c r="T11" s="925"/>
    </row>
    <row r="12" spans="2:20" ht="30" customHeight="1" thickBot="1">
      <c r="B12" s="896"/>
      <c r="C12" s="902"/>
      <c r="D12" s="886" t="s">
        <v>60</v>
      </c>
      <c r="E12" s="887"/>
      <c r="F12" s="53">
        <f>F11</f>
        <v>0</v>
      </c>
      <c r="G12" s="48" t="s">
        <v>59</v>
      </c>
      <c r="H12" s="51">
        <v>0.4</v>
      </c>
      <c r="I12" s="45">
        <f>F12*H12</f>
        <v>0</v>
      </c>
      <c r="K12" s="926" t="s">
        <v>57</v>
      </c>
      <c r="L12" s="927"/>
      <c r="M12" s="927"/>
      <c r="N12" s="927"/>
      <c r="O12" s="927"/>
      <c r="P12" s="927"/>
      <c r="Q12" s="927"/>
      <c r="R12" s="927"/>
      <c r="S12" s="927"/>
      <c r="T12" s="928"/>
    </row>
    <row r="13" spans="2:20" ht="30" customHeight="1" thickBot="1">
      <c r="B13" s="903"/>
      <c r="C13" s="904"/>
      <c r="D13" s="904"/>
      <c r="E13" s="904"/>
      <c r="F13" s="904"/>
      <c r="G13" s="904"/>
      <c r="H13" s="905"/>
      <c r="I13" s="68" t="e">
        <f>I12+I3</f>
        <v>#DIV/0!</v>
      </c>
      <c r="K13" s="36"/>
      <c r="L13" s="32"/>
      <c r="M13" s="32"/>
      <c r="N13" s="32"/>
      <c r="O13" s="32"/>
      <c r="P13" s="32"/>
      <c r="Q13" s="32"/>
      <c r="R13" s="32"/>
      <c r="S13" s="32"/>
      <c r="T13" s="33"/>
    </row>
    <row r="14" spans="2:20" ht="30" customHeight="1" thickBot="1">
      <c r="B14" s="921" t="s">
        <v>50</v>
      </c>
      <c r="C14" s="922"/>
      <c r="D14" s="922"/>
      <c r="E14" s="922"/>
      <c r="F14" s="922"/>
      <c r="G14" s="922"/>
      <c r="H14" s="922"/>
      <c r="I14" s="42" t="e">
        <f>IF(I13&lt;=50,"(Buruk)",IF(I13&lt;=60,"(Kurang)",IF(I13&lt;=75,"(Cukup)",IF(I13&lt;=90.99,"(Baik)","(Sangat Baik)"))))</f>
        <v>#DIV/0!</v>
      </c>
      <c r="J14" s="52"/>
      <c r="K14" s="36"/>
      <c r="L14" s="32"/>
      <c r="M14" s="32"/>
      <c r="N14" s="32"/>
      <c r="O14" s="32"/>
      <c r="P14" s="32"/>
      <c r="Q14" s="32"/>
      <c r="R14" s="32"/>
      <c r="S14" s="32"/>
      <c r="T14" s="33"/>
    </row>
    <row r="15" spans="2:20" ht="30" customHeight="1">
      <c r="B15" s="888" t="s">
        <v>376</v>
      </c>
      <c r="C15" s="889"/>
      <c r="D15" s="889"/>
      <c r="E15" s="889"/>
      <c r="F15" s="889"/>
      <c r="G15" s="889"/>
      <c r="H15" s="889"/>
      <c r="I15" s="890"/>
      <c r="K15" s="36"/>
      <c r="L15" s="32"/>
      <c r="M15" s="32"/>
      <c r="N15" s="32"/>
      <c r="O15" s="32"/>
      <c r="P15" s="32"/>
      <c r="Q15" s="32"/>
      <c r="R15" s="32"/>
      <c r="S15" s="32"/>
      <c r="T15" s="33"/>
    </row>
    <row r="16" spans="2:20" ht="30" customHeight="1">
      <c r="B16" s="891" t="s">
        <v>377</v>
      </c>
      <c r="C16" s="892"/>
      <c r="D16" s="892"/>
      <c r="E16" s="892"/>
      <c r="F16" s="892"/>
      <c r="G16" s="892"/>
      <c r="H16" s="892"/>
      <c r="I16" s="893"/>
      <c r="K16" s="36"/>
      <c r="L16" s="32"/>
      <c r="M16" s="32"/>
      <c r="N16" s="32"/>
      <c r="O16" s="32"/>
      <c r="P16" s="32"/>
      <c r="Q16" s="32"/>
      <c r="R16" s="32"/>
      <c r="S16" s="32"/>
      <c r="T16" s="33"/>
    </row>
    <row r="17" spans="2:20" ht="30" customHeight="1">
      <c r="B17" s="891"/>
      <c r="C17" s="892"/>
      <c r="D17" s="892"/>
      <c r="E17" s="892"/>
      <c r="F17" s="892"/>
      <c r="G17" s="892"/>
      <c r="H17" s="892"/>
      <c r="I17" s="893"/>
      <c r="K17" s="39"/>
      <c r="L17" s="32"/>
      <c r="M17" s="32"/>
      <c r="N17" s="32"/>
      <c r="O17" s="32"/>
      <c r="P17" s="32"/>
      <c r="Q17" s="32"/>
      <c r="R17" s="32"/>
      <c r="S17" s="32"/>
      <c r="T17" s="33"/>
    </row>
    <row r="18" spans="2:20" ht="30" customHeight="1">
      <c r="B18" s="116"/>
      <c r="C18" s="117"/>
      <c r="D18" s="117"/>
      <c r="E18" s="117"/>
      <c r="F18" s="117"/>
      <c r="G18" s="117"/>
      <c r="H18" s="117"/>
      <c r="I18" s="118"/>
      <c r="K18" s="39"/>
      <c r="L18" s="32"/>
      <c r="M18" s="32"/>
      <c r="N18" s="32"/>
      <c r="O18" s="32"/>
      <c r="P18" s="32"/>
      <c r="Q18" s="32"/>
      <c r="R18" s="32"/>
      <c r="S18" s="32"/>
      <c r="T18" s="33"/>
    </row>
    <row r="19" spans="2:20" ht="30" customHeight="1">
      <c r="B19" s="116"/>
      <c r="C19" s="117"/>
      <c r="D19" s="117"/>
      <c r="E19" s="117"/>
      <c r="F19" s="117"/>
      <c r="G19" s="117"/>
      <c r="H19" s="117"/>
      <c r="I19" s="118"/>
      <c r="K19" s="39"/>
      <c r="L19" s="32"/>
      <c r="M19" s="32"/>
      <c r="N19" s="32"/>
      <c r="O19" s="32"/>
      <c r="P19" s="32"/>
      <c r="Q19" s="32"/>
      <c r="R19" s="32"/>
      <c r="S19" s="32"/>
      <c r="T19" s="33"/>
    </row>
    <row r="20" spans="2:20" ht="30" customHeight="1">
      <c r="B20" s="116"/>
      <c r="C20" s="117"/>
      <c r="D20" s="117"/>
      <c r="E20" s="117"/>
      <c r="F20" s="117"/>
      <c r="G20" s="117"/>
      <c r="H20" s="117"/>
      <c r="I20" s="118"/>
      <c r="K20" s="39"/>
      <c r="L20" s="32"/>
      <c r="M20" s="32"/>
      <c r="N20" s="32"/>
      <c r="O20" s="32"/>
      <c r="P20" s="32"/>
      <c r="Q20" s="32"/>
      <c r="R20" s="32"/>
      <c r="S20" s="32"/>
      <c r="T20" s="33"/>
    </row>
    <row r="21" spans="2:20" ht="30" customHeight="1">
      <c r="B21" s="891"/>
      <c r="C21" s="892"/>
      <c r="D21" s="892"/>
      <c r="E21" s="892"/>
      <c r="F21" s="892"/>
      <c r="G21" s="892"/>
      <c r="H21" s="892"/>
      <c r="I21" s="893"/>
      <c r="K21" s="39"/>
      <c r="L21" s="32"/>
      <c r="M21" s="32"/>
      <c r="N21" s="32"/>
      <c r="O21" s="32"/>
      <c r="P21" s="32"/>
      <c r="Q21" s="32"/>
      <c r="R21" s="32"/>
      <c r="S21" s="32"/>
      <c r="T21" s="33"/>
    </row>
    <row r="22" spans="2:20" ht="30" customHeight="1">
      <c r="B22" s="891"/>
      <c r="C22" s="892"/>
      <c r="D22" s="892"/>
      <c r="E22" s="892"/>
      <c r="F22" s="892"/>
      <c r="G22" s="892"/>
      <c r="H22" s="892"/>
      <c r="I22" s="893"/>
      <c r="K22" s="39"/>
      <c r="L22" s="32"/>
      <c r="M22" s="32"/>
      <c r="N22" s="32"/>
      <c r="O22" s="32"/>
      <c r="P22" s="32"/>
      <c r="Q22" s="32"/>
      <c r="R22" s="32"/>
      <c r="S22" s="32"/>
      <c r="T22" s="33"/>
    </row>
    <row r="23" spans="2:20" ht="30" customHeight="1">
      <c r="B23" s="891"/>
      <c r="C23" s="892"/>
      <c r="D23" s="892"/>
      <c r="E23" s="892"/>
      <c r="F23" s="892"/>
      <c r="G23" s="892"/>
      <c r="H23" s="892"/>
      <c r="I23" s="893"/>
      <c r="K23" s="40"/>
      <c r="L23" s="32"/>
      <c r="M23" s="32"/>
      <c r="N23" s="32"/>
      <c r="O23" s="32"/>
      <c r="P23" s="32"/>
      <c r="Q23" s="32"/>
      <c r="R23" s="32"/>
      <c r="S23" s="32"/>
      <c r="T23" s="33"/>
    </row>
    <row r="24" spans="2:20" ht="30" customHeight="1">
      <c r="B24" s="908" t="s">
        <v>51</v>
      </c>
      <c r="C24" s="909"/>
      <c r="D24" s="909"/>
      <c r="E24" s="909"/>
      <c r="F24" s="909"/>
      <c r="G24" s="909"/>
      <c r="H24" s="909"/>
      <c r="I24" s="910"/>
      <c r="J24" s="38"/>
      <c r="K24" s="929" t="s">
        <v>51</v>
      </c>
      <c r="L24" s="930"/>
      <c r="M24" s="930"/>
      <c r="N24" s="930"/>
      <c r="O24" s="930"/>
      <c r="P24" s="930"/>
      <c r="Q24" s="930"/>
      <c r="R24" s="930"/>
      <c r="S24" s="930"/>
      <c r="T24" s="931"/>
    </row>
    <row r="25" spans="2:20" ht="30" customHeight="1" thickBot="1">
      <c r="B25" s="915"/>
      <c r="C25" s="916"/>
      <c r="D25" s="916"/>
      <c r="E25" s="916"/>
      <c r="F25" s="916"/>
      <c r="G25" s="916"/>
      <c r="H25" s="916"/>
      <c r="I25" s="917"/>
      <c r="K25" s="41"/>
      <c r="L25" s="34"/>
      <c r="M25" s="34"/>
      <c r="N25" s="34"/>
      <c r="O25" s="34"/>
      <c r="P25" s="34"/>
      <c r="Q25" s="34"/>
      <c r="R25" s="34"/>
      <c r="S25" s="34"/>
      <c r="T25" s="35"/>
    </row>
    <row r="26" spans="11:12" ht="15.75" thickBot="1">
      <c r="K26" s="37"/>
      <c r="L26" s="32"/>
    </row>
    <row r="27" spans="2:20" ht="15">
      <c r="B27" s="57"/>
      <c r="C27" s="54"/>
      <c r="D27" s="54"/>
      <c r="E27" s="54"/>
      <c r="F27" s="54"/>
      <c r="G27" s="54"/>
      <c r="H27" s="54"/>
      <c r="I27" s="55"/>
      <c r="K27" s="37" t="s">
        <v>72</v>
      </c>
      <c r="L27" s="113"/>
      <c r="M27" s="38"/>
      <c r="N27" s="38"/>
      <c r="O27" s="38"/>
      <c r="P27" s="38"/>
      <c r="Q27" s="38"/>
      <c r="R27" s="38"/>
      <c r="S27" s="38"/>
      <c r="T27" s="38"/>
    </row>
    <row r="28" spans="2:20" ht="15.75">
      <c r="B28" s="58" t="s">
        <v>69</v>
      </c>
      <c r="C28" s="59" t="s">
        <v>70</v>
      </c>
      <c r="D28" s="32"/>
      <c r="E28" s="32"/>
      <c r="F28" s="32"/>
      <c r="G28" s="32"/>
      <c r="H28" s="32"/>
      <c r="I28" s="33"/>
      <c r="K28" s="37"/>
      <c r="L28" s="113"/>
      <c r="M28" s="38"/>
      <c r="N28" s="38"/>
      <c r="O28" s="38"/>
      <c r="P28" s="38"/>
      <c r="Q28" s="38"/>
      <c r="R28" s="38"/>
      <c r="S28" s="38"/>
      <c r="T28" s="38"/>
    </row>
    <row r="29" spans="2:20" ht="15">
      <c r="B29" s="39"/>
      <c r="C29" s="32"/>
      <c r="D29" s="32"/>
      <c r="E29" s="32"/>
      <c r="F29" s="32"/>
      <c r="G29" s="32"/>
      <c r="H29" s="32"/>
      <c r="I29" s="33"/>
      <c r="K29" s="37"/>
      <c r="L29" s="113"/>
      <c r="M29" s="38"/>
      <c r="N29" s="38"/>
      <c r="O29" s="38"/>
      <c r="P29" s="38"/>
      <c r="Q29" s="38"/>
      <c r="R29" s="38"/>
      <c r="S29" s="38"/>
      <c r="T29" s="38"/>
    </row>
    <row r="30" spans="2:20" ht="15">
      <c r="B30" s="39"/>
      <c r="C30" s="32"/>
      <c r="D30" s="32"/>
      <c r="E30" s="32"/>
      <c r="F30" s="32"/>
      <c r="G30" s="32"/>
      <c r="H30" s="32"/>
      <c r="I30" s="33"/>
      <c r="K30" s="37"/>
      <c r="L30" s="113"/>
      <c r="M30" s="38"/>
      <c r="N30" s="38"/>
      <c r="O30" s="38"/>
      <c r="P30" s="38"/>
      <c r="Q30" s="38"/>
      <c r="R30" s="38"/>
      <c r="S30" s="38"/>
      <c r="T30" s="38"/>
    </row>
    <row r="31" spans="2:20" ht="15">
      <c r="B31" s="39"/>
      <c r="C31" s="32"/>
      <c r="D31" s="32"/>
      <c r="E31" s="32"/>
      <c r="F31" s="32"/>
      <c r="G31" s="32"/>
      <c r="H31" s="32"/>
      <c r="I31" s="33"/>
      <c r="K31" s="37"/>
      <c r="L31" s="113"/>
      <c r="M31" s="38"/>
      <c r="N31" s="38"/>
      <c r="O31" s="38"/>
      <c r="P31" s="38"/>
      <c r="Q31" s="38"/>
      <c r="R31" s="38"/>
      <c r="S31" s="38"/>
      <c r="T31" s="38"/>
    </row>
    <row r="32" spans="2:20" ht="18.75">
      <c r="B32" s="39"/>
      <c r="C32" s="32"/>
      <c r="D32" s="32"/>
      <c r="E32" s="32"/>
      <c r="F32" s="32"/>
      <c r="G32" s="32"/>
      <c r="H32" s="32"/>
      <c r="I32" s="33"/>
      <c r="K32" s="935" t="s">
        <v>61</v>
      </c>
      <c r="L32" s="935"/>
      <c r="M32" s="935"/>
      <c r="N32" s="935"/>
      <c r="O32" s="935"/>
      <c r="P32" s="935"/>
      <c r="Q32" s="935"/>
      <c r="R32" s="935"/>
      <c r="S32" s="935"/>
      <c r="T32" s="935"/>
    </row>
    <row r="33" spans="2:20" ht="18.75">
      <c r="B33" s="39"/>
      <c r="C33" s="32"/>
      <c r="D33" s="32"/>
      <c r="E33" s="32"/>
      <c r="F33" s="32"/>
      <c r="G33" s="32"/>
      <c r="H33" s="32"/>
      <c r="I33" s="33"/>
      <c r="K33" s="935" t="s">
        <v>373</v>
      </c>
      <c r="L33" s="935"/>
      <c r="M33" s="935"/>
      <c r="N33" s="935"/>
      <c r="O33" s="935"/>
      <c r="P33" s="935"/>
      <c r="Q33" s="935"/>
      <c r="R33" s="935"/>
      <c r="S33" s="935"/>
      <c r="T33" s="935"/>
    </row>
    <row r="34" spans="2:20" ht="12.75">
      <c r="B34" s="39"/>
      <c r="C34" s="32"/>
      <c r="D34" s="32"/>
      <c r="E34" s="32"/>
      <c r="F34" s="32"/>
      <c r="G34" s="32"/>
      <c r="H34" s="32"/>
      <c r="I34" s="33"/>
      <c r="K34" s="113"/>
      <c r="L34" s="113"/>
      <c r="M34" s="38"/>
      <c r="N34" s="38"/>
      <c r="O34" s="38"/>
      <c r="P34" s="38"/>
      <c r="Q34" s="38"/>
      <c r="R34" s="38"/>
      <c r="S34" s="38"/>
      <c r="T34" s="38"/>
    </row>
    <row r="35" spans="2:20" ht="15">
      <c r="B35" s="39"/>
      <c r="C35" s="32"/>
      <c r="D35" s="32"/>
      <c r="E35" s="32"/>
      <c r="F35" s="32"/>
      <c r="G35" s="32"/>
      <c r="H35" s="32"/>
      <c r="I35" s="33"/>
      <c r="K35" s="712" t="str">
        <f>'IDENTITAS dan TANGGAL PENETAPAN'!C10</f>
        <v>UNIVERSITAS WIJAYA KUSUMA SURABAYA</v>
      </c>
      <c r="L35" s="713"/>
      <c r="M35" s="714"/>
      <c r="N35" s="714"/>
      <c r="O35" s="714"/>
      <c r="P35" s="714"/>
      <c r="Q35" s="715" t="s">
        <v>62</v>
      </c>
      <c r="R35" s="714"/>
      <c r="S35" s="714"/>
      <c r="T35" s="714"/>
    </row>
    <row r="36" spans="2:22" ht="15.75" thickBot="1">
      <c r="B36" s="39"/>
      <c r="C36" s="32"/>
      <c r="D36" s="32"/>
      <c r="E36" s="32"/>
      <c r="F36" s="32"/>
      <c r="G36" s="32"/>
      <c r="H36" s="32"/>
      <c r="I36" s="33"/>
      <c r="K36" s="716" t="str">
        <f>'IDENTITAS dan TANGGAL PENETAPAN'!C11</f>
        <v>FAKULTAS BAHASA DAN SAINS</v>
      </c>
      <c r="L36" s="714"/>
      <c r="M36" s="714"/>
      <c r="N36" s="714"/>
      <c r="O36" s="714"/>
      <c r="P36" s="715"/>
      <c r="Q36" s="715" t="s">
        <v>86</v>
      </c>
      <c r="R36" s="715" t="str">
        <f>'IDENTITAS dan TANGGAL PENETAPAN'!C9</f>
        <v>2 Januari s.d. 31 Desember 2019</v>
      </c>
      <c r="S36" s="714"/>
      <c r="T36" s="714"/>
      <c r="U36" s="28"/>
      <c r="V36" s="28"/>
    </row>
    <row r="37" spans="2:20" ht="30" customHeight="1">
      <c r="B37" s="39"/>
      <c r="C37" s="32"/>
      <c r="D37" s="32"/>
      <c r="E37" s="32"/>
      <c r="F37" s="32"/>
      <c r="G37" s="32"/>
      <c r="H37" s="32"/>
      <c r="I37" s="33"/>
      <c r="K37" s="936" t="s">
        <v>66</v>
      </c>
      <c r="L37" s="939" t="s">
        <v>63</v>
      </c>
      <c r="M37" s="940"/>
      <c r="N37" s="940"/>
      <c r="O37" s="940"/>
      <c r="P37" s="940"/>
      <c r="Q37" s="940"/>
      <c r="R37" s="940"/>
      <c r="S37" s="940"/>
      <c r="T37" s="941"/>
    </row>
    <row r="38" spans="2:20" ht="30" customHeight="1" thickBot="1">
      <c r="B38" s="56"/>
      <c r="C38" s="34"/>
      <c r="D38" s="34"/>
      <c r="E38" s="34"/>
      <c r="F38" s="34"/>
      <c r="G38" s="34"/>
      <c r="H38" s="34"/>
      <c r="I38" s="35"/>
      <c r="K38" s="937"/>
      <c r="L38" s="942" t="s">
        <v>362</v>
      </c>
      <c r="M38" s="943"/>
      <c r="N38" s="943"/>
      <c r="O38" s="944"/>
      <c r="P38" s="961" t="str">
        <f>SKP!I5</f>
        <v>Reza Syehma Bahtiar, S.Pd., M.Pd.</v>
      </c>
      <c r="Q38" s="962"/>
      <c r="R38" s="962"/>
      <c r="S38" s="962"/>
      <c r="T38" s="963"/>
    </row>
    <row r="39" spans="2:20" ht="30" customHeight="1">
      <c r="B39" s="57"/>
      <c r="C39" s="54"/>
      <c r="D39" s="54"/>
      <c r="E39" s="60" t="str">
        <f>CONCATENATE("9. DIBUAT TANGGAL, ",'IDENTITAS dan TANGGAL PENETAPAN'!C12)</f>
        <v>9. DIBUAT TANGGAL, 2 Januari 2020</v>
      </c>
      <c r="F39" s="54"/>
      <c r="G39" s="129"/>
      <c r="H39" s="127"/>
      <c r="I39" s="128"/>
      <c r="K39" s="937"/>
      <c r="L39" s="942" t="s">
        <v>379</v>
      </c>
      <c r="M39" s="943"/>
      <c r="N39" s="943"/>
      <c r="O39" s="944"/>
      <c r="P39" s="961" t="str">
        <f>SKP!I6</f>
        <v>15744 - ET.</v>
      </c>
      <c r="Q39" s="962"/>
      <c r="R39" s="962"/>
      <c r="S39" s="962"/>
      <c r="T39" s="963"/>
    </row>
    <row r="40" spans="2:20" ht="30" customHeight="1">
      <c r="B40" s="39"/>
      <c r="C40" s="32"/>
      <c r="D40" s="32"/>
      <c r="E40" s="945" t="s">
        <v>64</v>
      </c>
      <c r="F40" s="945"/>
      <c r="G40" s="945"/>
      <c r="H40" s="945"/>
      <c r="I40" s="946"/>
      <c r="K40" s="937"/>
      <c r="L40" s="942" t="s">
        <v>363</v>
      </c>
      <c r="M40" s="943"/>
      <c r="N40" s="943"/>
      <c r="O40" s="944"/>
      <c r="P40" s="961" t="str">
        <f>SKP!I7</f>
        <v>Penata Muda TK.I / III-b</v>
      </c>
      <c r="Q40" s="962"/>
      <c r="R40" s="962"/>
      <c r="S40" s="962"/>
      <c r="T40" s="963"/>
    </row>
    <row r="41" spans="2:20" ht="30" customHeight="1">
      <c r="B41" s="39"/>
      <c r="C41" s="32"/>
      <c r="D41" s="32"/>
      <c r="E41" s="32"/>
      <c r="F41" s="32"/>
      <c r="G41" s="32"/>
      <c r="H41" s="32"/>
      <c r="I41" s="33"/>
      <c r="K41" s="937"/>
      <c r="L41" s="942" t="s">
        <v>364</v>
      </c>
      <c r="M41" s="943"/>
      <c r="N41" s="943"/>
      <c r="O41" s="944"/>
      <c r="P41" s="961" t="str">
        <f>SKP!I8</f>
        <v>Asisten Ahli/Dosen</v>
      </c>
      <c r="Q41" s="962"/>
      <c r="R41" s="962"/>
      <c r="S41" s="962"/>
      <c r="T41" s="963"/>
    </row>
    <row r="42" spans="2:20" ht="30" customHeight="1" thickBot="1">
      <c r="B42" s="39"/>
      <c r="C42" s="32"/>
      <c r="D42" s="32"/>
      <c r="E42" s="955" t="str">
        <f>SKP!D5</f>
        <v>Dr. Fransisca Dwi Harjanti, M.Pd</v>
      </c>
      <c r="F42" s="955"/>
      <c r="G42" s="955"/>
      <c r="H42" s="955"/>
      <c r="I42" s="956"/>
      <c r="K42" s="938"/>
      <c r="L42" s="947" t="s">
        <v>365</v>
      </c>
      <c r="M42" s="948"/>
      <c r="N42" s="948"/>
      <c r="O42" s="949"/>
      <c r="P42" s="964" t="str">
        <f>SKP!I9</f>
        <v>Fakultas Bahasa dan Sains
Universitas Wijaya Kusuma Surabaya</v>
      </c>
      <c r="Q42" s="965"/>
      <c r="R42" s="965"/>
      <c r="S42" s="965"/>
      <c r="T42" s="966"/>
    </row>
    <row r="43" spans="2:20" ht="30" customHeight="1">
      <c r="B43" s="39"/>
      <c r="D43" s="32"/>
      <c r="E43" s="953" t="str">
        <f>CONCATENATE("NIK",P45)</f>
        <v>NIK94239 - ET.</v>
      </c>
      <c r="F43" s="953"/>
      <c r="G43" s="953"/>
      <c r="H43" s="953"/>
      <c r="I43" s="954"/>
      <c r="K43" s="936" t="s">
        <v>67</v>
      </c>
      <c r="L43" s="939" t="s">
        <v>64</v>
      </c>
      <c r="M43" s="940"/>
      <c r="N43" s="940"/>
      <c r="O43" s="940"/>
      <c r="P43" s="940"/>
      <c r="Q43" s="940"/>
      <c r="R43" s="940"/>
      <c r="S43" s="940"/>
      <c r="T43" s="941"/>
    </row>
    <row r="44" spans="2:20" ht="30" customHeight="1">
      <c r="B44" s="39"/>
      <c r="C44" s="115" t="str">
        <f>CONCATENATE("10. DITERIMA TANGGAL, ",'IDENTITAS dan TANGGAL PENETAPAN'!C13)</f>
        <v>10. DITERIMA TANGGAL, 3 Januari 2020</v>
      </c>
      <c r="D44" s="32"/>
      <c r="E44" s="114"/>
      <c r="F44" s="114"/>
      <c r="G44" s="63"/>
      <c r="H44" s="63"/>
      <c r="I44" s="64"/>
      <c r="K44" s="937"/>
      <c r="L44" s="942" t="s">
        <v>362</v>
      </c>
      <c r="M44" s="943"/>
      <c r="N44" s="943"/>
      <c r="O44" s="944"/>
      <c r="P44" s="961" t="str">
        <f>SKP!D5</f>
        <v>Dr. Fransisca Dwi Harjanti, M.Pd</v>
      </c>
      <c r="Q44" s="962"/>
      <c r="R44" s="962"/>
      <c r="S44" s="962"/>
      <c r="T44" s="963"/>
    </row>
    <row r="45" spans="2:20" ht="30" customHeight="1" thickBot="1">
      <c r="B45" s="58"/>
      <c r="C45" s="945" t="s">
        <v>375</v>
      </c>
      <c r="D45" s="945"/>
      <c r="E45" s="945"/>
      <c r="F45" s="32"/>
      <c r="G45" s="32"/>
      <c r="H45" s="32"/>
      <c r="I45" s="33"/>
      <c r="K45" s="937"/>
      <c r="L45" s="942" t="s">
        <v>379</v>
      </c>
      <c r="M45" s="943"/>
      <c r="N45" s="943"/>
      <c r="O45" s="944"/>
      <c r="P45" s="967" t="str">
        <f>SKP!D6</f>
        <v>94239 - ET.</v>
      </c>
      <c r="Q45" s="962"/>
      <c r="R45" s="962"/>
      <c r="S45" s="962"/>
      <c r="T45" s="963"/>
    </row>
    <row r="46" spans="2:29" ht="30" customHeight="1">
      <c r="B46" s="39"/>
      <c r="C46" s="61"/>
      <c r="D46" s="62"/>
      <c r="E46" s="62"/>
      <c r="F46" s="32"/>
      <c r="G46" s="32"/>
      <c r="H46" s="32"/>
      <c r="I46" s="33"/>
      <c r="K46" s="937"/>
      <c r="L46" s="942" t="s">
        <v>363</v>
      </c>
      <c r="M46" s="943"/>
      <c r="N46" s="943"/>
      <c r="O46" s="944"/>
      <c r="P46" s="961" t="str">
        <f>SKP!D7</f>
        <v>Pembina / IV-a</v>
      </c>
      <c r="Q46" s="962"/>
      <c r="R46" s="962"/>
      <c r="S46" s="962"/>
      <c r="T46" s="963"/>
      <c r="X46" s="57"/>
      <c r="Y46" s="54"/>
      <c r="Z46" s="54"/>
      <c r="AA46" s="54"/>
      <c r="AB46" s="54"/>
      <c r="AC46" s="55"/>
    </row>
    <row r="47" spans="2:29" ht="30" customHeight="1">
      <c r="B47" s="39"/>
      <c r="C47" s="957" t="str">
        <f>SKP!I5</f>
        <v>Reza Syehma Bahtiar, S.Pd., M.Pd.</v>
      </c>
      <c r="D47" s="957"/>
      <c r="E47" s="957"/>
      <c r="F47" s="32"/>
      <c r="G47" s="32"/>
      <c r="H47" s="32"/>
      <c r="I47" s="33"/>
      <c r="K47" s="937"/>
      <c r="L47" s="942" t="s">
        <v>364</v>
      </c>
      <c r="M47" s="943"/>
      <c r="N47" s="943"/>
      <c r="O47" s="944"/>
      <c r="P47" s="961" t="str">
        <f>SKP!D8</f>
        <v>Dekan</v>
      </c>
      <c r="Q47" s="962"/>
      <c r="R47" s="962"/>
      <c r="S47" s="962"/>
      <c r="T47" s="963"/>
      <c r="X47" s="39"/>
      <c r="Y47" s="32"/>
      <c r="Z47" s="32"/>
      <c r="AA47" s="32"/>
      <c r="AB47" s="32"/>
      <c r="AC47" s="33"/>
    </row>
    <row r="48" spans="2:29" ht="30" customHeight="1" thickBot="1">
      <c r="B48" s="39"/>
      <c r="C48" s="958" t="str">
        <f>CONCATENATE("NIK",P39)</f>
        <v>NIK15744 - ET.</v>
      </c>
      <c r="D48" s="958"/>
      <c r="E48" s="958"/>
      <c r="F48" s="32"/>
      <c r="G48" s="32"/>
      <c r="H48" s="32"/>
      <c r="I48" s="33"/>
      <c r="K48" s="938"/>
      <c r="L48" s="947" t="s">
        <v>365</v>
      </c>
      <c r="M48" s="948"/>
      <c r="N48" s="948"/>
      <c r="O48" s="949"/>
      <c r="P48" s="968" t="str">
        <f>SKP!D9</f>
        <v>Fakultas Bahasa dan Sains Univ.Wijaya Kusuma Surabaya</v>
      </c>
      <c r="Q48" s="969"/>
      <c r="R48" s="969"/>
      <c r="S48" s="969"/>
      <c r="T48" s="970"/>
      <c r="X48" s="56"/>
      <c r="Y48" s="34"/>
      <c r="Z48" s="34"/>
      <c r="AA48" s="34"/>
      <c r="AB48" s="34"/>
      <c r="AC48" s="35"/>
    </row>
    <row r="49" spans="2:20" ht="30" customHeight="1">
      <c r="B49" s="39"/>
      <c r="C49" s="65"/>
      <c r="D49" s="65"/>
      <c r="E49" s="959" t="str">
        <f>CONCATENATE("11. DITERIMA TANGGAL, ",'IDENTITAS dan TANGGAL PENETAPAN'!C14)</f>
        <v>11. DITERIMA TANGGAL, 7 Januari 2020</v>
      </c>
      <c r="F49" s="959"/>
      <c r="G49" s="959"/>
      <c r="H49" s="959"/>
      <c r="I49" s="960"/>
      <c r="K49" s="936" t="s">
        <v>68</v>
      </c>
      <c r="L49" s="939" t="s">
        <v>65</v>
      </c>
      <c r="M49" s="940"/>
      <c r="N49" s="940"/>
      <c r="O49" s="940"/>
      <c r="P49" s="940"/>
      <c r="Q49" s="940"/>
      <c r="R49" s="940"/>
      <c r="S49" s="940"/>
      <c r="T49" s="941"/>
    </row>
    <row r="50" spans="2:20" ht="30" customHeight="1">
      <c r="B50" s="39"/>
      <c r="C50" s="66"/>
      <c r="D50" s="66"/>
      <c r="E50" s="945" t="s">
        <v>65</v>
      </c>
      <c r="F50" s="945"/>
      <c r="G50" s="945"/>
      <c r="H50" s="945"/>
      <c r="I50" s="946"/>
      <c r="K50" s="937"/>
      <c r="L50" s="942" t="s">
        <v>362</v>
      </c>
      <c r="M50" s="943"/>
      <c r="N50" s="943"/>
      <c r="O50" s="944"/>
      <c r="P50" s="961" t="s">
        <v>368</v>
      </c>
      <c r="Q50" s="962"/>
      <c r="R50" s="962"/>
      <c r="S50" s="962"/>
      <c r="T50" s="963"/>
    </row>
    <row r="51" spans="2:20" ht="30" customHeight="1">
      <c r="B51" s="39"/>
      <c r="C51" s="32"/>
      <c r="D51" s="32"/>
      <c r="E51" s="32"/>
      <c r="F51" s="32"/>
      <c r="G51" s="32"/>
      <c r="H51" s="32"/>
      <c r="I51" s="33"/>
      <c r="K51" s="937"/>
      <c r="L51" s="942" t="s">
        <v>379</v>
      </c>
      <c r="M51" s="943"/>
      <c r="N51" s="943"/>
      <c r="O51" s="944"/>
      <c r="P51" s="971" t="s">
        <v>369</v>
      </c>
      <c r="Q51" s="962"/>
      <c r="R51" s="962"/>
      <c r="S51" s="962"/>
      <c r="T51" s="963"/>
    </row>
    <row r="52" spans="2:20" ht="30" customHeight="1">
      <c r="B52" s="39"/>
      <c r="C52" s="32"/>
      <c r="D52" s="32"/>
      <c r="E52" s="955" t="str">
        <f>P50</f>
        <v>Prof. H. Sri Harmadji, dr.,Sp.,THT-KL(K)</v>
      </c>
      <c r="F52" s="955"/>
      <c r="G52" s="955"/>
      <c r="H52" s="955"/>
      <c r="I52" s="956"/>
      <c r="K52" s="937"/>
      <c r="L52" s="942" t="s">
        <v>363</v>
      </c>
      <c r="M52" s="943"/>
      <c r="N52" s="943"/>
      <c r="O52" s="944"/>
      <c r="P52" s="961" t="s">
        <v>370</v>
      </c>
      <c r="Q52" s="962"/>
      <c r="R52" s="962"/>
      <c r="S52" s="962"/>
      <c r="T52" s="963"/>
    </row>
    <row r="53" spans="2:20" ht="30" customHeight="1">
      <c r="B53" s="39"/>
      <c r="C53" s="32"/>
      <c r="D53" s="32"/>
      <c r="E53" s="953" t="str">
        <f>CONCATENATE("NKP",P51)</f>
        <v>NKP12.636 - ET.</v>
      </c>
      <c r="F53" s="953"/>
      <c r="G53" s="953"/>
      <c r="H53" s="953"/>
      <c r="I53" s="954"/>
      <c r="K53" s="937"/>
      <c r="L53" s="942" t="s">
        <v>364</v>
      </c>
      <c r="M53" s="943"/>
      <c r="N53" s="943"/>
      <c r="O53" s="944"/>
      <c r="P53" s="961" t="s">
        <v>106</v>
      </c>
      <c r="Q53" s="962"/>
      <c r="R53" s="962"/>
      <c r="S53" s="962"/>
      <c r="T53" s="963"/>
    </row>
    <row r="54" spans="2:20" ht="30" customHeight="1" thickBot="1">
      <c r="B54" s="56"/>
      <c r="C54" s="34"/>
      <c r="D54" s="34"/>
      <c r="E54" s="34"/>
      <c r="F54" s="34"/>
      <c r="G54" s="34"/>
      <c r="H54" s="34"/>
      <c r="I54" s="35"/>
      <c r="K54" s="938"/>
      <c r="L54" s="947" t="s">
        <v>365</v>
      </c>
      <c r="M54" s="948"/>
      <c r="N54" s="948"/>
      <c r="O54" s="949"/>
      <c r="P54" s="950" t="s">
        <v>356</v>
      </c>
      <c r="Q54" s="951"/>
      <c r="R54" s="951"/>
      <c r="S54" s="951"/>
      <c r="T54" s="952"/>
    </row>
  </sheetData>
  <sheetProtection/>
  <mergeCells count="85">
    <mergeCell ref="P47:T47"/>
    <mergeCell ref="P48:T48"/>
    <mergeCell ref="P50:T50"/>
    <mergeCell ref="P51:T51"/>
    <mergeCell ref="P52:T52"/>
    <mergeCell ref="P53:T53"/>
    <mergeCell ref="E52:I52"/>
    <mergeCell ref="E53:I53"/>
    <mergeCell ref="P38:T38"/>
    <mergeCell ref="P39:T39"/>
    <mergeCell ref="P40:T40"/>
    <mergeCell ref="P41:T41"/>
    <mergeCell ref="P42:T42"/>
    <mergeCell ref="P44:T44"/>
    <mergeCell ref="P45:T45"/>
    <mergeCell ref="P46:T46"/>
    <mergeCell ref="E43:I43"/>
    <mergeCell ref="E42:I42"/>
    <mergeCell ref="C45:E45"/>
    <mergeCell ref="C47:E47"/>
    <mergeCell ref="C48:E48"/>
    <mergeCell ref="E50:I50"/>
    <mergeCell ref="E49:I49"/>
    <mergeCell ref="L47:O47"/>
    <mergeCell ref="L48:O48"/>
    <mergeCell ref="K49:K54"/>
    <mergeCell ref="L50:O50"/>
    <mergeCell ref="L51:O51"/>
    <mergeCell ref="L52:O52"/>
    <mergeCell ref="L53:O53"/>
    <mergeCell ref="L54:O54"/>
    <mergeCell ref="L49:T49"/>
    <mergeCell ref="P54:T54"/>
    <mergeCell ref="E40:I40"/>
    <mergeCell ref="B22:I22"/>
    <mergeCell ref="L40:O40"/>
    <mergeCell ref="L41:O41"/>
    <mergeCell ref="L42:O42"/>
    <mergeCell ref="K43:K48"/>
    <mergeCell ref="L43:T43"/>
    <mergeCell ref="L44:O44"/>
    <mergeCell ref="L45:O45"/>
    <mergeCell ref="L46:O46"/>
    <mergeCell ref="K32:T32"/>
    <mergeCell ref="K33:T33"/>
    <mergeCell ref="K37:K42"/>
    <mergeCell ref="L37:T37"/>
    <mergeCell ref="L38:O38"/>
    <mergeCell ref="L39:O39"/>
    <mergeCell ref="K2:T2"/>
    <mergeCell ref="K3:T3"/>
    <mergeCell ref="K11:T11"/>
    <mergeCell ref="K12:T12"/>
    <mergeCell ref="K24:T24"/>
    <mergeCell ref="K10:T10"/>
    <mergeCell ref="B25:I25"/>
    <mergeCell ref="C3:D3"/>
    <mergeCell ref="D4:E4"/>
    <mergeCell ref="D5:E5"/>
    <mergeCell ref="D6:E6"/>
    <mergeCell ref="D7:E7"/>
    <mergeCell ref="B14:H14"/>
    <mergeCell ref="B17:I17"/>
    <mergeCell ref="G6:H6"/>
    <mergeCell ref="G7:H7"/>
    <mergeCell ref="G4:H4"/>
    <mergeCell ref="G5:H5"/>
    <mergeCell ref="D9:E9"/>
    <mergeCell ref="D10:E10"/>
    <mergeCell ref="B23:I23"/>
    <mergeCell ref="B24:I24"/>
    <mergeCell ref="G8:H8"/>
    <mergeCell ref="G9:H9"/>
    <mergeCell ref="G10:H10"/>
    <mergeCell ref="G11:H11"/>
    <mergeCell ref="D11:E11"/>
    <mergeCell ref="D12:E12"/>
    <mergeCell ref="B15:I15"/>
    <mergeCell ref="B16:I16"/>
    <mergeCell ref="B21:I21"/>
    <mergeCell ref="B2:B12"/>
    <mergeCell ref="C2:H2"/>
    <mergeCell ref="C4:C12"/>
    <mergeCell ref="B13:H13"/>
    <mergeCell ref="D8:E8"/>
  </mergeCells>
  <printOptions/>
  <pageMargins left="0.4724409448818898" right="0.1968503937007874" top="0.5118110236220472" bottom="0.5905511811023623" header="0.31496062992125984" footer="0.31496062992125984"/>
  <pageSetup horizontalDpi="600" verticalDpi="600" orientation="landscape" paperSize="9" scale="70" r:id="rId4"/>
  <rowBreaks count="1" manualBreakCount="1">
    <brk id="25" max="20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2.140625" style="225" customWidth="1"/>
    <col min="2" max="2" width="16.57421875" style="224" customWidth="1"/>
    <col min="3" max="3" width="50.57421875" style="223" customWidth="1"/>
    <col min="4" max="16384" width="9.140625" style="223" customWidth="1"/>
  </cols>
  <sheetData>
    <row r="1" spans="1:2" ht="15">
      <c r="A1" s="225">
        <v>16</v>
      </c>
      <c r="B1" s="227" t="s">
        <v>97</v>
      </c>
    </row>
    <row r="2" spans="1:2" ht="15">
      <c r="A2" s="225">
        <v>15</v>
      </c>
      <c r="B2" s="226" t="s">
        <v>98</v>
      </c>
    </row>
    <row r="3" spans="1:2" ht="15">
      <c r="A3" s="225">
        <v>14</v>
      </c>
      <c r="B3" s="226" t="s">
        <v>269</v>
      </c>
    </row>
    <row r="4" spans="1:2" ht="15">
      <c r="A4" s="225">
        <v>13</v>
      </c>
      <c r="B4" s="226" t="s">
        <v>99</v>
      </c>
    </row>
    <row r="5" spans="1:2" ht="15">
      <c r="A5" s="225">
        <v>12</v>
      </c>
      <c r="B5" s="226" t="s">
        <v>269</v>
      </c>
    </row>
    <row r="6" spans="1:2" ht="15">
      <c r="A6" s="225">
        <v>11</v>
      </c>
      <c r="B6" s="226" t="s">
        <v>100</v>
      </c>
    </row>
    <row r="7" spans="1:2" ht="15">
      <c r="A7" s="225">
        <v>10</v>
      </c>
      <c r="B7" s="226" t="s">
        <v>267</v>
      </c>
    </row>
    <row r="8" spans="1:2" ht="15">
      <c r="A8" s="225">
        <v>9</v>
      </c>
      <c r="B8" s="226" t="s">
        <v>101</v>
      </c>
    </row>
    <row r="9" spans="1:2" ht="15">
      <c r="A9" s="225">
        <v>8</v>
      </c>
      <c r="B9" s="226" t="s">
        <v>268</v>
      </c>
    </row>
    <row r="10" spans="1:2" ht="15">
      <c r="A10" s="225">
        <v>7</v>
      </c>
      <c r="B10" s="226" t="s">
        <v>102</v>
      </c>
    </row>
    <row r="11" spans="1:2" ht="15">
      <c r="A11" s="225">
        <v>6</v>
      </c>
      <c r="B11" s="226" t="s">
        <v>266</v>
      </c>
    </row>
    <row r="12" spans="1:2" ht="15">
      <c r="A12" s="225">
        <v>5</v>
      </c>
      <c r="B12" s="226" t="s">
        <v>103</v>
      </c>
    </row>
    <row r="13" spans="1:2" ht="15">
      <c r="A13" s="225">
        <v>4</v>
      </c>
      <c r="B13" s="226" t="s">
        <v>104</v>
      </c>
    </row>
    <row r="14" spans="1:2" ht="15">
      <c r="A14" s="225">
        <v>3</v>
      </c>
      <c r="B14" s="226" t="s">
        <v>105</v>
      </c>
    </row>
    <row r="15" spans="1:2" ht="15">
      <c r="A15" s="225">
        <v>2</v>
      </c>
      <c r="B15" s="226" t="s">
        <v>265</v>
      </c>
    </row>
    <row r="16" spans="1:2" ht="15">
      <c r="A16" s="225">
        <v>1</v>
      </c>
      <c r="B16" s="2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Syehma</cp:lastModifiedBy>
  <cp:lastPrinted>2019-12-04T08:30:35Z</cp:lastPrinted>
  <dcterms:created xsi:type="dcterms:W3CDTF">2010-10-07T03:41:24Z</dcterms:created>
  <dcterms:modified xsi:type="dcterms:W3CDTF">2020-01-28T01:24:50Z</dcterms:modified>
  <cp:category/>
  <cp:version/>
  <cp:contentType/>
  <cp:contentStatus/>
</cp:coreProperties>
</file>